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528" yWindow="0" windowWidth="11208" windowHeight="11760"/>
  </bookViews>
  <sheets>
    <sheet name="Лист1" sheetId="1" r:id="rId1"/>
  </sheets>
  <definedNames>
    <definedName name="_xlnm.Print_Area" localSheetId="0">Лист1!$A$1:$U$52</definedName>
  </definedNames>
  <calcPr calcId="152511"/>
</workbook>
</file>

<file path=xl/calcChain.xml><?xml version="1.0" encoding="utf-8"?>
<calcChain xmlns="http://schemas.openxmlformats.org/spreadsheetml/2006/main">
  <c r="H22" i="1" l="1"/>
  <c r="G22" i="1"/>
  <c r="H17" i="1"/>
  <c r="H16" i="1"/>
  <c r="H15" i="1"/>
  <c r="H14" i="1"/>
  <c r="G17" i="1"/>
  <c r="G16" i="1"/>
  <c r="G15" i="1"/>
  <c r="G14" i="1"/>
  <c r="G13" i="1"/>
  <c r="G42" i="1" l="1"/>
  <c r="H41" i="1"/>
  <c r="H40" i="1"/>
  <c r="H39" i="1"/>
  <c r="H38" i="1"/>
  <c r="H37" i="1"/>
  <c r="H42" i="1" s="1"/>
  <c r="G36" i="1"/>
  <c r="H13" i="1"/>
  <c r="H34" i="1" l="1"/>
  <c r="H36" i="1" s="1"/>
  <c r="D46" i="1" l="1"/>
  <c r="D42" i="1"/>
  <c r="D44" i="1"/>
  <c r="E30" i="1" l="1"/>
  <c r="H30" i="1" s="1"/>
  <c r="E29" i="1"/>
  <c r="H29" i="1" s="1"/>
  <c r="E16" i="1"/>
  <c r="E17" i="1"/>
  <c r="G30" i="1" l="1"/>
  <c r="G29" i="1"/>
  <c r="W35" i="1" l="1"/>
  <c r="J35" i="1" s="1"/>
  <c r="I35" i="1" s="1"/>
  <c r="X27" i="1" l="1"/>
  <c r="W23" i="1"/>
  <c r="J23" i="1" s="1"/>
  <c r="W26" i="1"/>
  <c r="W25" i="1"/>
  <c r="W20" i="1"/>
  <c r="J20" i="1" s="1"/>
  <c r="W19" i="1"/>
  <c r="J19" i="1" s="1"/>
  <c r="W11" i="1"/>
  <c r="J11" i="1" s="1"/>
  <c r="W8" i="1"/>
  <c r="J8" i="1" s="1"/>
  <c r="W7" i="1"/>
  <c r="J7" i="1" s="1"/>
  <c r="AA26" i="1" l="1"/>
  <c r="AB27" i="1" s="1"/>
  <c r="J30" i="1" l="1"/>
  <c r="I12" i="1" l="1"/>
  <c r="J12" i="1" s="1"/>
  <c r="J15" i="1"/>
  <c r="I16" i="1"/>
  <c r="J16" i="1" s="1"/>
  <c r="I17" i="1"/>
  <c r="J17" i="1" s="1"/>
  <c r="I24" i="1"/>
  <c r="I34" i="1"/>
  <c r="I36" i="1" s="1"/>
  <c r="I37" i="1"/>
  <c r="I38" i="1"/>
  <c r="I39" i="1"/>
  <c r="I41" i="1"/>
  <c r="E45" i="1"/>
  <c r="E9" i="1"/>
  <c r="G9" i="1" s="1"/>
  <c r="E10" i="1"/>
  <c r="G10" i="1" s="1"/>
  <c r="E11" i="1"/>
  <c r="G11" i="1" s="1"/>
  <c r="E12" i="1"/>
  <c r="G12" i="1" s="1"/>
  <c r="H12" i="1" s="1"/>
  <c r="E13" i="1"/>
  <c r="I13" i="1" s="1"/>
  <c r="E18" i="1"/>
  <c r="G18" i="1" s="1"/>
  <c r="E19" i="1"/>
  <c r="G19" i="1" s="1"/>
  <c r="E20" i="1"/>
  <c r="G20" i="1" s="1"/>
  <c r="E21" i="1"/>
  <c r="G21" i="1" s="1"/>
  <c r="E23" i="1"/>
  <c r="G23" i="1" s="1"/>
  <c r="E24" i="1"/>
  <c r="G24" i="1" s="1"/>
  <c r="H24" i="1" s="1"/>
  <c r="E25" i="1"/>
  <c r="G25" i="1" s="1"/>
  <c r="H25" i="1" s="1"/>
  <c r="E26" i="1"/>
  <c r="G26" i="1" s="1"/>
  <c r="E27" i="1"/>
  <c r="G27" i="1" s="1"/>
  <c r="E28" i="1"/>
  <c r="G28" i="1" s="1"/>
  <c r="E32" i="1"/>
  <c r="G32" i="1" s="1"/>
  <c r="E34" i="1"/>
  <c r="E35" i="1"/>
  <c r="E37" i="1"/>
  <c r="E38" i="1"/>
  <c r="E39" i="1"/>
  <c r="E40" i="1"/>
  <c r="E41" i="1"/>
  <c r="E42" i="1"/>
  <c r="E43" i="1"/>
  <c r="E8" i="1"/>
  <c r="G8" i="1" s="1"/>
  <c r="E7" i="1"/>
  <c r="G7" i="1" s="1"/>
  <c r="H7" i="1" s="1"/>
  <c r="I26" i="1" l="1"/>
  <c r="J26" i="1" s="1"/>
  <c r="H26" i="1"/>
  <c r="H21" i="1"/>
  <c r="I21" i="1" s="1"/>
  <c r="J21" i="1" s="1"/>
  <c r="I9" i="1"/>
  <c r="J9" i="1" s="1"/>
  <c r="H9" i="1"/>
  <c r="G33" i="1"/>
  <c r="H32" i="1"/>
  <c r="I20" i="1"/>
  <c r="H20" i="1"/>
  <c r="I28" i="1"/>
  <c r="J28" i="1" s="1"/>
  <c r="H28" i="1"/>
  <c r="H19" i="1"/>
  <c r="I19" i="1" s="1"/>
  <c r="I11" i="1"/>
  <c r="H11" i="1"/>
  <c r="H8" i="1"/>
  <c r="I8" i="1" s="1"/>
  <c r="I27" i="1"/>
  <c r="J27" i="1" s="1"/>
  <c r="H27" i="1"/>
  <c r="H23" i="1"/>
  <c r="I23" i="1" s="1"/>
  <c r="I18" i="1"/>
  <c r="J18" i="1" s="1"/>
  <c r="H18" i="1"/>
  <c r="H10" i="1"/>
  <c r="I10" i="1" s="1"/>
  <c r="J10" i="1" s="1"/>
  <c r="J13" i="1"/>
  <c r="E44" i="1"/>
  <c r="G43" i="1"/>
  <c r="I25" i="1"/>
  <c r="J25" i="1" s="1"/>
  <c r="H45" i="1"/>
  <c r="H46" i="1" s="1"/>
  <c r="G45" i="1"/>
  <c r="G46" i="1" s="1"/>
  <c r="E46" i="1"/>
  <c r="G31" i="1"/>
  <c r="J14" i="1"/>
  <c r="J38" i="1"/>
  <c r="J39" i="1"/>
  <c r="J41" i="1"/>
  <c r="J22" i="1"/>
  <c r="J24" i="1"/>
  <c r="J29" i="1"/>
  <c r="H43" i="1" l="1"/>
  <c r="H44" i="1" s="1"/>
  <c r="G44" i="1"/>
  <c r="H31" i="1"/>
  <c r="H33" i="1"/>
  <c r="I32" i="1"/>
  <c r="I33" i="1" s="1"/>
  <c r="J31" i="1"/>
  <c r="I45" i="1"/>
  <c r="I46" i="1" s="1"/>
  <c r="I7" i="1"/>
  <c r="I31" i="1" s="1"/>
  <c r="I43" i="1"/>
  <c r="I44" i="1" s="1"/>
  <c r="I40" i="1"/>
  <c r="I42" i="1" s="1"/>
  <c r="J43" i="1" l="1"/>
  <c r="J44" i="1" s="1"/>
  <c r="J40" i="1"/>
  <c r="J37" i="1" l="1"/>
  <c r="J42" i="1" s="1"/>
  <c r="J32" i="1"/>
  <c r="J33" i="1" s="1"/>
  <c r="J45" i="1" l="1"/>
  <c r="J46" i="1" s="1"/>
  <c r="J34" i="1"/>
  <c r="J36" i="1" s="1"/>
</calcChain>
</file>

<file path=xl/sharedStrings.xml><?xml version="1.0" encoding="utf-8"?>
<sst xmlns="http://schemas.openxmlformats.org/spreadsheetml/2006/main" count="215" uniqueCount="122">
  <si>
    <t>"СОГЛАСОВАНО"</t>
  </si>
  <si>
    <t>Первый заместитель префекта Центрального административного округа города Москвы</t>
  </si>
  <si>
    <t>Заместитель префекта Центрального административного округа города Москвы</t>
  </si>
  <si>
    <t>В.В. Травкин</t>
  </si>
  <si>
    <t>О.В. Соболев</t>
  </si>
  <si>
    <t>Л.И. Тиунова</t>
  </si>
  <si>
    <t>Наименование государственной услуги (работы)</t>
  </si>
  <si>
    <t>Наименование показателя</t>
  </si>
  <si>
    <t>Единица измерения</t>
  </si>
  <si>
    <t>Значение, утвержденное в государственном задании</t>
  </si>
  <si>
    <t>Фактическое значение</t>
  </si>
  <si>
    <t>Характеристика причин отклонения от запланированных значений</t>
  </si>
  <si>
    <t>Затраты на оказание (выполнение) государственных услуг (работ) (тыс.руб.) (плановые)</t>
  </si>
  <si>
    <t>Затраты на оказание (выполнение) государственных услуг (работ) (тыс.руб.) (фактические)</t>
  </si>
  <si>
    <t>Отклонение по затратам на оказание (выполнение) государственных услуг (работ) (тыс.руб.)</t>
  </si>
  <si>
    <t>Комментарий</t>
  </si>
  <si>
    <t>Источники информации о фактическом значении показателя</t>
  </si>
  <si>
    <t>из ГЗ</t>
  </si>
  <si>
    <t>1. Комплексное содержание проезжей части III категории объектов дорожного хозяйства, за исключением погрузки, транспортировки и утилизации снега</t>
  </si>
  <si>
    <t>Площадь проезжей части III категории</t>
  </si>
  <si>
    <t>кв.м</t>
  </si>
  <si>
    <t>Титульный список ОДХ</t>
  </si>
  <si>
    <t>2 годовую сумму на коэфф</t>
  </si>
  <si>
    <t>1.Плановыеиз Любиной план поступл на отчетную/план на 2015</t>
  </si>
  <si>
    <t>2. Комплексное содержание тротуаров (механизированная уборка тротуаров) III категории объектов дорожного хозяйства, за исключением погрузки, транспортировки и утилизации снега</t>
  </si>
  <si>
    <t>Площадь тротуаров III категории, подлежащая механизированной уборке</t>
  </si>
  <si>
    <t>план=факт</t>
  </si>
  <si>
    <t>3. Комплексное содержание тротуаров (ручная уборка тротуаров) III категории объектов дорожного хозяйства, за исключением погрузки, транспортировки и утилизации снега</t>
  </si>
  <si>
    <t>Площадь тротуаров III категории, подлежащая ручной уборке</t>
  </si>
  <si>
    <t>4. Комплексное содержание остановок III категории (с вывозом мусора) объектов дорожного хозяйства, за исключением погрузки, транспортировки и утилизации снега</t>
  </si>
  <si>
    <t>Площадь остановок III категории</t>
  </si>
  <si>
    <t>5. Комплексное содержание тротуаров (механизированная уборка тротуаров) IV категории объектов дорожного хозяйства, за исключением погрузки, транспортировки и утилизации снега.</t>
  </si>
  <si>
    <t>Площадь тротуаров IV категории, подлежащая механизированной уборке</t>
  </si>
  <si>
    <t>-200тысяч</t>
  </si>
  <si>
    <t>6. Комплексное содержание тротуаров (ручная уборка тротуаров) IV категории объектов дорожного хозяйства, за исключением погрузки, транспортировки и утилизации снега</t>
  </si>
  <si>
    <t>Площадь тротуаров IV категории, подлежащая ручной уборке</t>
  </si>
  <si>
    <t>7. Комплексное содержание барьерных ограждений.</t>
  </si>
  <si>
    <t>Протяженность барьерных ограждений</t>
  </si>
  <si>
    <t>пог. м.</t>
  </si>
  <si>
    <t>8. Погрузка и транспортировка снега с объектов дорожного хозяйства III категории</t>
  </si>
  <si>
    <t>объем снега</t>
  </si>
  <si>
    <t>Куб.м.</t>
  </si>
  <si>
    <t>9. Погрузка и транспортировка снега с объектов дорожного хозяйства IV категории</t>
  </si>
  <si>
    <t>10.Утилизация снега с объектов дорожного хозяйства на ССП ОАО "Мосводоканал"</t>
  </si>
  <si>
    <t>объем утилизированного снега</t>
  </si>
  <si>
    <t>11. Утилизация снега с объектов дорожного хозяйства на ССП, работающих на водосбросных водах ТЭЦ</t>
  </si>
  <si>
    <t>12. Уборка (очистка и мойка) дорожных знаков на объектах дорожного хозяйства</t>
  </si>
  <si>
    <t>Количество дорожных знаков</t>
  </si>
  <si>
    <t>шт.</t>
  </si>
  <si>
    <t>13. Комплексное содержание проезжей части внекатегорийных объектов дорожного хозяйства (ОДХ внутри Садового кольца), за исключением погрузки, транспортировки и утилизации снега</t>
  </si>
  <si>
    <t>Площадь внекатегорийных объектов дорожного хозяйства</t>
  </si>
  <si>
    <t>-500 тысяч</t>
  </si>
  <si>
    <t>-500</t>
  </si>
  <si>
    <t>14. Комплексное содержание тротуаров (механизированная уборка тротуаров) внекатегорийных объектов дорожного хозяйства (ОДХ внутри Садового кольца), за исключением погрузки, транспортировки и утилизации снега</t>
  </si>
  <si>
    <t>Площадь тротуаров на внекатегорийных объектов дорожного хозяйства (ОДХ внутри Садового кольца), подлежащих механизированной уборке</t>
  </si>
  <si>
    <t>15. Комплексное содержание тротуаров (ручная уборка тротуаров) внекатегорийных объектов дорожного хозяйства (ОДХ внутри Садового кольца), за исключением погрузки, транспортировки и утилизации снега</t>
  </si>
  <si>
    <t>Площадь тротуаров на внекатегорийных объектов дорожного хозяйства (ОДХ внутри Садового кольца), подлежащих ручной уборке</t>
  </si>
  <si>
    <t>16. Погрузка и транспортировка снега с внекатегорийных объектов дорожного хозяйства  (ОДХ внутри Садового кольца)</t>
  </si>
  <si>
    <t>Площадь проезжей части IV категории</t>
  </si>
  <si>
    <t>18. Комплексное содержание парковок на улично-дорожной сети внутри ТТК, за исключением погрузки, транспортировки и утилизации снега</t>
  </si>
  <si>
    <t>Площадь территории</t>
  </si>
  <si>
    <t>-1000(выравнивание)</t>
  </si>
  <si>
    <t>Площадь проезжей части IХ категории</t>
  </si>
  <si>
    <t>Площадь тротуаров IХ категории, подлежащая механизированной уборке</t>
  </si>
  <si>
    <t>Площадь тротуаров IХ категории, подлежащая ручной уборке</t>
  </si>
  <si>
    <t>Площадь остановок IХ категории</t>
  </si>
  <si>
    <t>Итого</t>
  </si>
  <si>
    <t>Площадь жилых и нежилых помещений</t>
  </si>
  <si>
    <t>Титульный список нераспределенных жилых и нежилых помещений</t>
  </si>
  <si>
    <t>Количество объединенных диспетчерских служб</t>
  </si>
  <si>
    <t>перечень ОДС района</t>
  </si>
  <si>
    <t>оставить как есть, разницу разбросать</t>
  </si>
  <si>
    <t>Количество ламп сигналов</t>
  </si>
  <si>
    <t xml:space="preserve">технический паспорт ОДС </t>
  </si>
  <si>
    <t xml:space="preserve">Итого: </t>
  </si>
  <si>
    <t>Площадь дворовых территорий I категории</t>
  </si>
  <si>
    <t>Адресный перечень</t>
  </si>
  <si>
    <t>см. в Любиной, фактич выполнение на отчетную дату (столбец 11)</t>
  </si>
  <si>
    <t>Площадь дворовых территорий II категории</t>
  </si>
  <si>
    <t>Площадь дворовых территорий III категории</t>
  </si>
  <si>
    <t>Площадь дворовых территорий IV категории</t>
  </si>
  <si>
    <t>Площадь дворовых территорий V категории</t>
  </si>
  <si>
    <t xml:space="preserve">Титульный список </t>
  </si>
  <si>
    <t xml:space="preserve">  </t>
  </si>
  <si>
    <t>Директор ГБУ "Жилищник  Красносельского района"</t>
  </si>
  <si>
    <t>Главный бухгалтер ГБУ "Жилищник Красносельского района"</t>
  </si>
  <si>
    <t>М.В.Соловьева</t>
  </si>
  <si>
    <t>О.В.Куликова</t>
  </si>
  <si>
    <t>Заместитель директора по экономике и финансам ГБУ "Жилищник Красносельского района"</t>
  </si>
  <si>
    <t>Площадь очистки</t>
  </si>
  <si>
    <t xml:space="preserve"> </t>
  </si>
  <si>
    <t>С.А. Кашаева</t>
  </si>
  <si>
    <t>Г.Б. Бобкова</t>
  </si>
  <si>
    <t>17. Комплексное содержание проезжей части IV категории объектов дорожного хозяйства, за исключением погрузки, транспортировки и утилизации снега</t>
  </si>
  <si>
    <t>куб.м.</t>
  </si>
  <si>
    <t>34. Содержание объектов озеленения II категории, за исключением катков с искусственным льдом</t>
  </si>
  <si>
    <t>Площадь объектов озеленения II категории</t>
  </si>
  <si>
    <t>19. Комплексное содержание проезжей части 9 категории (механизированная уборка) объектов дорожного хозяйства, за исключением погрузки, транспортировки и утилизации снега</t>
  </si>
  <si>
    <t>20. Комплексное содержание тротуаров (механизированная уборка тротуаров) IХ категории объектов дорожного хозяйства, за исключением погрузки, транспортировки и утилизации снега</t>
  </si>
  <si>
    <t>21. Комплексное содержание тротуаров (ручная уборка тротуаров) IХ категории объектов дорожного хозяйства, за исключением погрузки, транспортировки и утилизации снега</t>
  </si>
  <si>
    <t>22. Комплексное содержание остановок IX категории (с вывозом мусора) объектов дорожного хозяйства, за исключением погрузки, транспортировки и утилизации снега</t>
  </si>
  <si>
    <t>23. Погрузка и транспортировка снега с объектов дорожного хозяйства IХ категории</t>
  </si>
  <si>
    <t>24.Погрузка и транспортировка снега с парковок на улично-дорожной сети вне зависимости от категории</t>
  </si>
  <si>
    <t>26. Обеспечение эксплуатации и функционирования объединенных диспетчерских служб</t>
  </si>
  <si>
    <t>27. Обеспечение эксплуатации и функционирования технологического оборудования объединенных диспетчерских служб</t>
  </si>
  <si>
    <t>28. Содержание и текущий ремонт  дворовых территорий I категории, за исключением катков с искусственным льдом</t>
  </si>
  <si>
    <t>29. Содержание и текущий ремонт   дворовых территорий II категории, за исключением катков с искусственным льдом</t>
  </si>
  <si>
    <t>30. Содержание и текущий ремонт   дворовых территорий III категории, за исключением катков с искусственным льдом</t>
  </si>
  <si>
    <t>31. Содержание и текущий ремонт    дворовых территорий IV категории, за исключением катков с искусственным льдом</t>
  </si>
  <si>
    <t>32. Содержание и текущий ремонт   дворовых территорий V категории, за исключением катков с искусственным льдом</t>
  </si>
  <si>
    <t>33. Удаление наростов льда на карнизах, крышах и водостоках нежилых
зданий, строений, сооружений, многоквартирных домов в городе Москве при невыполнении указанных
работ собственниками (правообладателями), а также лицами,
осуществляющими управление многоквартирными домами, в случае
непредставления доступа на крышу</t>
  </si>
  <si>
    <t>Отчет о выполнении государственного задания ГБУ "Жилищник Красносельского района" за март 2018 года</t>
  </si>
  <si>
    <t>январь</t>
  </si>
  <si>
    <t>февраль</t>
  </si>
  <si>
    <t>март</t>
  </si>
  <si>
    <t xml:space="preserve">Снятие по данным Глонасс  </t>
  </si>
  <si>
    <t xml:space="preserve">Снятие по данным Глонасс </t>
  </si>
  <si>
    <t>всего Глонас</t>
  </si>
  <si>
    <t>Объем снега за январь-март 2018г.</t>
  </si>
  <si>
    <t xml:space="preserve">Снятие за не работающие ламп-сигналы </t>
  </si>
  <si>
    <t>Всего</t>
  </si>
  <si>
    <t>25. Содержание, текущий ремонт и обеспечение коммунальной услугой отопления нераспределенных жилых и нежилых помещений, находящихся в собственности города Москвы, а также жилых помещений в многоквартирных домах и жилых домах, ртнятых от застройщика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</si>
</sst>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4" fontId="10" fillId="0" borderId="0" xfId="0" applyNumberFormat="1" applyFont="1" applyFill="1"/>
    <xf numFmtId="0" fontId="10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2" fontId="2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  <xf numFmtId="43" fontId="2" fillId="0" borderId="0" xfId="0" applyNumberFormat="1" applyFont="1" applyFill="1"/>
    <xf numFmtId="43" fontId="1" fillId="0" borderId="0" xfId="0" applyNumberFormat="1" applyFont="1" applyFill="1"/>
    <xf numFmtId="43" fontId="13" fillId="0" borderId="0" xfId="0" applyNumberFormat="1" applyFont="1" applyFill="1"/>
    <xf numFmtId="43" fontId="13" fillId="0" borderId="1" xfId="0" applyNumberFormat="1" applyFont="1" applyFill="1" applyBorder="1"/>
    <xf numFmtId="43" fontId="13" fillId="0" borderId="1" xfId="0" applyNumberFormat="1" applyFont="1" applyFill="1" applyBorder="1" applyAlignment="1">
      <alignment horizontal="center"/>
    </xf>
    <xf numFmtId="43" fontId="13" fillId="0" borderId="0" xfId="0" applyNumberFormat="1" applyFont="1" applyFill="1" applyAlignment="1">
      <alignment horizontal="center"/>
    </xf>
    <xf numFmtId="43" fontId="14" fillId="0" borderId="0" xfId="0" applyNumberFormat="1" applyFont="1" applyFill="1"/>
    <xf numFmtId="43" fontId="4" fillId="0" borderId="1" xfId="0" applyNumberFormat="1" applyFont="1" applyFill="1" applyBorder="1"/>
    <xf numFmtId="43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/>
    <xf numFmtId="43" fontId="5" fillId="2" borderId="1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2" fillId="0" borderId="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view="pageBreakPreview" topLeftCell="A7" zoomScale="80" zoomScaleSheetLayoutView="80" workbookViewId="0">
      <selection activeCell="K15" sqref="K15:K17"/>
    </sheetView>
  </sheetViews>
  <sheetFormatPr defaultRowHeight="13.8" x14ac:dyDescent="0.25"/>
  <cols>
    <col min="1" max="1" width="32.109375" style="1" customWidth="1"/>
    <col min="2" max="2" width="15.88671875" style="1" customWidth="1"/>
    <col min="3" max="3" width="11.109375" style="1" customWidth="1"/>
    <col min="4" max="4" width="15.5546875" style="1" customWidth="1"/>
    <col min="5" max="5" width="13" style="1" customWidth="1"/>
    <col min="6" max="6" width="15.33203125" style="1" customWidth="1"/>
    <col min="7" max="7" width="0.109375" style="44" customWidth="1"/>
    <col min="8" max="8" width="17.44140625" style="12" bestFit="1" customWidth="1"/>
    <col min="9" max="10" width="17.44140625" style="1" bestFit="1" customWidth="1"/>
    <col min="11" max="11" width="28.33203125" style="1" customWidth="1"/>
    <col min="12" max="12" width="15.44140625" style="1" bestFit="1" customWidth="1"/>
    <col min="13" max="13" width="15.44140625" style="1" hidden="1" customWidth="1"/>
    <col min="14" max="14" width="13.109375" style="1" hidden="1" customWidth="1"/>
    <col min="15" max="15" width="0" style="1" hidden="1" customWidth="1"/>
    <col min="16" max="16" width="10" style="1" hidden="1" customWidth="1"/>
    <col min="17" max="17" width="14.88671875" style="1" hidden="1" customWidth="1"/>
    <col min="18" max="18" width="10.88671875" style="1" hidden="1" customWidth="1"/>
    <col min="19" max="19" width="14" style="1" hidden="1" customWidth="1"/>
    <col min="20" max="20" width="11" style="1" hidden="1" customWidth="1"/>
    <col min="21" max="21" width="12.109375" style="1" hidden="1" customWidth="1"/>
    <col min="22" max="22" width="12.109375" style="1" customWidth="1"/>
    <col min="23" max="23" width="14.88671875" style="23" customWidth="1"/>
    <col min="24" max="24" width="13.5546875" style="23" customWidth="1"/>
    <col min="25" max="26" width="12.88671875" style="23" bestFit="1" customWidth="1"/>
    <col min="27" max="27" width="13.88671875" style="23" bestFit="1" customWidth="1"/>
    <col min="28" max="28" width="9.44140625" style="21" bestFit="1" customWidth="1"/>
    <col min="29" max="29" width="9.109375" style="21"/>
    <col min="30" max="257" width="9.109375" style="1"/>
    <col min="258" max="258" width="32.109375" style="1" customWidth="1"/>
    <col min="259" max="259" width="15.88671875" style="1" customWidth="1"/>
    <col min="260" max="260" width="9.88671875" style="1" customWidth="1"/>
    <col min="261" max="261" width="14.88671875" style="1" customWidth="1"/>
    <col min="262" max="262" width="13" style="1" customWidth="1"/>
    <col min="263" max="263" width="14.88671875" style="1" customWidth="1"/>
    <col min="264" max="264" width="0" style="1" hidden="1" customWidth="1"/>
    <col min="265" max="267" width="14" style="1" customWidth="1"/>
    <col min="268" max="268" width="28.33203125" style="1" customWidth="1"/>
    <col min="269" max="269" width="15.44140625" style="1" bestFit="1" customWidth="1"/>
    <col min="270" max="278" width="0" style="1" hidden="1" customWidth="1"/>
    <col min="279" max="280" width="9.109375" style="1"/>
    <col min="281" max="281" width="18" style="1" customWidth="1"/>
    <col min="282" max="282" width="14.88671875" style="1" customWidth="1"/>
    <col min="283" max="513" width="9.109375" style="1"/>
    <col min="514" max="514" width="32.109375" style="1" customWidth="1"/>
    <col min="515" max="515" width="15.88671875" style="1" customWidth="1"/>
    <col min="516" max="516" width="9.88671875" style="1" customWidth="1"/>
    <col min="517" max="517" width="14.88671875" style="1" customWidth="1"/>
    <col min="518" max="518" width="13" style="1" customWidth="1"/>
    <col min="519" max="519" width="14.88671875" style="1" customWidth="1"/>
    <col min="520" max="520" width="0" style="1" hidden="1" customWidth="1"/>
    <col min="521" max="523" width="14" style="1" customWidth="1"/>
    <col min="524" max="524" width="28.33203125" style="1" customWidth="1"/>
    <col min="525" max="525" width="15.44140625" style="1" bestFit="1" customWidth="1"/>
    <col min="526" max="534" width="0" style="1" hidden="1" customWidth="1"/>
    <col min="535" max="536" width="9.109375" style="1"/>
    <col min="537" max="537" width="18" style="1" customWidth="1"/>
    <col min="538" max="538" width="14.88671875" style="1" customWidth="1"/>
    <col min="539" max="769" width="9.109375" style="1"/>
    <col min="770" max="770" width="32.109375" style="1" customWidth="1"/>
    <col min="771" max="771" width="15.88671875" style="1" customWidth="1"/>
    <col min="772" max="772" width="9.88671875" style="1" customWidth="1"/>
    <col min="773" max="773" width="14.88671875" style="1" customWidth="1"/>
    <col min="774" max="774" width="13" style="1" customWidth="1"/>
    <col min="775" max="775" width="14.88671875" style="1" customWidth="1"/>
    <col min="776" max="776" width="0" style="1" hidden="1" customWidth="1"/>
    <col min="777" max="779" width="14" style="1" customWidth="1"/>
    <col min="780" max="780" width="28.33203125" style="1" customWidth="1"/>
    <col min="781" max="781" width="15.44140625" style="1" bestFit="1" customWidth="1"/>
    <col min="782" max="790" width="0" style="1" hidden="1" customWidth="1"/>
    <col min="791" max="792" width="9.109375" style="1"/>
    <col min="793" max="793" width="18" style="1" customWidth="1"/>
    <col min="794" max="794" width="14.88671875" style="1" customWidth="1"/>
    <col min="795" max="1025" width="9.109375" style="1"/>
    <col min="1026" max="1026" width="32.109375" style="1" customWidth="1"/>
    <col min="1027" max="1027" width="15.88671875" style="1" customWidth="1"/>
    <col min="1028" max="1028" width="9.88671875" style="1" customWidth="1"/>
    <col min="1029" max="1029" width="14.88671875" style="1" customWidth="1"/>
    <col min="1030" max="1030" width="13" style="1" customWidth="1"/>
    <col min="1031" max="1031" width="14.88671875" style="1" customWidth="1"/>
    <col min="1032" max="1032" width="0" style="1" hidden="1" customWidth="1"/>
    <col min="1033" max="1035" width="14" style="1" customWidth="1"/>
    <col min="1036" max="1036" width="28.33203125" style="1" customWidth="1"/>
    <col min="1037" max="1037" width="15.44140625" style="1" bestFit="1" customWidth="1"/>
    <col min="1038" max="1046" width="0" style="1" hidden="1" customWidth="1"/>
    <col min="1047" max="1048" width="9.109375" style="1"/>
    <col min="1049" max="1049" width="18" style="1" customWidth="1"/>
    <col min="1050" max="1050" width="14.88671875" style="1" customWidth="1"/>
    <col min="1051" max="1281" width="9.109375" style="1"/>
    <col min="1282" max="1282" width="32.109375" style="1" customWidth="1"/>
    <col min="1283" max="1283" width="15.88671875" style="1" customWidth="1"/>
    <col min="1284" max="1284" width="9.88671875" style="1" customWidth="1"/>
    <col min="1285" max="1285" width="14.88671875" style="1" customWidth="1"/>
    <col min="1286" max="1286" width="13" style="1" customWidth="1"/>
    <col min="1287" max="1287" width="14.88671875" style="1" customWidth="1"/>
    <col min="1288" max="1288" width="0" style="1" hidden="1" customWidth="1"/>
    <col min="1289" max="1291" width="14" style="1" customWidth="1"/>
    <col min="1292" max="1292" width="28.33203125" style="1" customWidth="1"/>
    <col min="1293" max="1293" width="15.44140625" style="1" bestFit="1" customWidth="1"/>
    <col min="1294" max="1302" width="0" style="1" hidden="1" customWidth="1"/>
    <col min="1303" max="1304" width="9.109375" style="1"/>
    <col min="1305" max="1305" width="18" style="1" customWidth="1"/>
    <col min="1306" max="1306" width="14.88671875" style="1" customWidth="1"/>
    <col min="1307" max="1537" width="9.109375" style="1"/>
    <col min="1538" max="1538" width="32.109375" style="1" customWidth="1"/>
    <col min="1539" max="1539" width="15.88671875" style="1" customWidth="1"/>
    <col min="1540" max="1540" width="9.88671875" style="1" customWidth="1"/>
    <col min="1541" max="1541" width="14.88671875" style="1" customWidth="1"/>
    <col min="1542" max="1542" width="13" style="1" customWidth="1"/>
    <col min="1543" max="1543" width="14.88671875" style="1" customWidth="1"/>
    <col min="1544" max="1544" width="0" style="1" hidden="1" customWidth="1"/>
    <col min="1545" max="1547" width="14" style="1" customWidth="1"/>
    <col min="1548" max="1548" width="28.33203125" style="1" customWidth="1"/>
    <col min="1549" max="1549" width="15.44140625" style="1" bestFit="1" customWidth="1"/>
    <col min="1550" max="1558" width="0" style="1" hidden="1" customWidth="1"/>
    <col min="1559" max="1560" width="9.109375" style="1"/>
    <col min="1561" max="1561" width="18" style="1" customWidth="1"/>
    <col min="1562" max="1562" width="14.88671875" style="1" customWidth="1"/>
    <col min="1563" max="1793" width="9.109375" style="1"/>
    <col min="1794" max="1794" width="32.109375" style="1" customWidth="1"/>
    <col min="1795" max="1795" width="15.88671875" style="1" customWidth="1"/>
    <col min="1796" max="1796" width="9.88671875" style="1" customWidth="1"/>
    <col min="1797" max="1797" width="14.88671875" style="1" customWidth="1"/>
    <col min="1798" max="1798" width="13" style="1" customWidth="1"/>
    <col min="1799" max="1799" width="14.88671875" style="1" customWidth="1"/>
    <col min="1800" max="1800" width="0" style="1" hidden="1" customWidth="1"/>
    <col min="1801" max="1803" width="14" style="1" customWidth="1"/>
    <col min="1804" max="1804" width="28.33203125" style="1" customWidth="1"/>
    <col min="1805" max="1805" width="15.44140625" style="1" bestFit="1" customWidth="1"/>
    <col min="1806" max="1814" width="0" style="1" hidden="1" customWidth="1"/>
    <col min="1815" max="1816" width="9.109375" style="1"/>
    <col min="1817" max="1817" width="18" style="1" customWidth="1"/>
    <col min="1818" max="1818" width="14.88671875" style="1" customWidth="1"/>
    <col min="1819" max="2049" width="9.109375" style="1"/>
    <col min="2050" max="2050" width="32.109375" style="1" customWidth="1"/>
    <col min="2051" max="2051" width="15.88671875" style="1" customWidth="1"/>
    <col min="2052" max="2052" width="9.88671875" style="1" customWidth="1"/>
    <col min="2053" max="2053" width="14.88671875" style="1" customWidth="1"/>
    <col min="2054" max="2054" width="13" style="1" customWidth="1"/>
    <col min="2055" max="2055" width="14.88671875" style="1" customWidth="1"/>
    <col min="2056" max="2056" width="0" style="1" hidden="1" customWidth="1"/>
    <col min="2057" max="2059" width="14" style="1" customWidth="1"/>
    <col min="2060" max="2060" width="28.33203125" style="1" customWidth="1"/>
    <col min="2061" max="2061" width="15.44140625" style="1" bestFit="1" customWidth="1"/>
    <col min="2062" max="2070" width="0" style="1" hidden="1" customWidth="1"/>
    <col min="2071" max="2072" width="9.109375" style="1"/>
    <col min="2073" max="2073" width="18" style="1" customWidth="1"/>
    <col min="2074" max="2074" width="14.88671875" style="1" customWidth="1"/>
    <col min="2075" max="2305" width="9.109375" style="1"/>
    <col min="2306" max="2306" width="32.109375" style="1" customWidth="1"/>
    <col min="2307" max="2307" width="15.88671875" style="1" customWidth="1"/>
    <col min="2308" max="2308" width="9.88671875" style="1" customWidth="1"/>
    <col min="2309" max="2309" width="14.88671875" style="1" customWidth="1"/>
    <col min="2310" max="2310" width="13" style="1" customWidth="1"/>
    <col min="2311" max="2311" width="14.88671875" style="1" customWidth="1"/>
    <col min="2312" max="2312" width="0" style="1" hidden="1" customWidth="1"/>
    <col min="2313" max="2315" width="14" style="1" customWidth="1"/>
    <col min="2316" max="2316" width="28.33203125" style="1" customWidth="1"/>
    <col min="2317" max="2317" width="15.44140625" style="1" bestFit="1" customWidth="1"/>
    <col min="2318" max="2326" width="0" style="1" hidden="1" customWidth="1"/>
    <col min="2327" max="2328" width="9.109375" style="1"/>
    <col min="2329" max="2329" width="18" style="1" customWidth="1"/>
    <col min="2330" max="2330" width="14.88671875" style="1" customWidth="1"/>
    <col min="2331" max="2561" width="9.109375" style="1"/>
    <col min="2562" max="2562" width="32.109375" style="1" customWidth="1"/>
    <col min="2563" max="2563" width="15.88671875" style="1" customWidth="1"/>
    <col min="2564" max="2564" width="9.88671875" style="1" customWidth="1"/>
    <col min="2565" max="2565" width="14.88671875" style="1" customWidth="1"/>
    <col min="2566" max="2566" width="13" style="1" customWidth="1"/>
    <col min="2567" max="2567" width="14.88671875" style="1" customWidth="1"/>
    <col min="2568" max="2568" width="0" style="1" hidden="1" customWidth="1"/>
    <col min="2569" max="2571" width="14" style="1" customWidth="1"/>
    <col min="2572" max="2572" width="28.33203125" style="1" customWidth="1"/>
    <col min="2573" max="2573" width="15.44140625" style="1" bestFit="1" customWidth="1"/>
    <col min="2574" max="2582" width="0" style="1" hidden="1" customWidth="1"/>
    <col min="2583" max="2584" width="9.109375" style="1"/>
    <col min="2585" max="2585" width="18" style="1" customWidth="1"/>
    <col min="2586" max="2586" width="14.88671875" style="1" customWidth="1"/>
    <col min="2587" max="2817" width="9.109375" style="1"/>
    <col min="2818" max="2818" width="32.109375" style="1" customWidth="1"/>
    <col min="2819" max="2819" width="15.88671875" style="1" customWidth="1"/>
    <col min="2820" max="2820" width="9.88671875" style="1" customWidth="1"/>
    <col min="2821" max="2821" width="14.88671875" style="1" customWidth="1"/>
    <col min="2822" max="2822" width="13" style="1" customWidth="1"/>
    <col min="2823" max="2823" width="14.88671875" style="1" customWidth="1"/>
    <col min="2824" max="2824" width="0" style="1" hidden="1" customWidth="1"/>
    <col min="2825" max="2827" width="14" style="1" customWidth="1"/>
    <col min="2828" max="2828" width="28.33203125" style="1" customWidth="1"/>
    <col min="2829" max="2829" width="15.44140625" style="1" bestFit="1" customWidth="1"/>
    <col min="2830" max="2838" width="0" style="1" hidden="1" customWidth="1"/>
    <col min="2839" max="2840" width="9.109375" style="1"/>
    <col min="2841" max="2841" width="18" style="1" customWidth="1"/>
    <col min="2842" max="2842" width="14.88671875" style="1" customWidth="1"/>
    <col min="2843" max="3073" width="9.109375" style="1"/>
    <col min="3074" max="3074" width="32.109375" style="1" customWidth="1"/>
    <col min="3075" max="3075" width="15.88671875" style="1" customWidth="1"/>
    <col min="3076" max="3076" width="9.88671875" style="1" customWidth="1"/>
    <col min="3077" max="3077" width="14.88671875" style="1" customWidth="1"/>
    <col min="3078" max="3078" width="13" style="1" customWidth="1"/>
    <col min="3079" max="3079" width="14.88671875" style="1" customWidth="1"/>
    <col min="3080" max="3080" width="0" style="1" hidden="1" customWidth="1"/>
    <col min="3081" max="3083" width="14" style="1" customWidth="1"/>
    <col min="3084" max="3084" width="28.33203125" style="1" customWidth="1"/>
    <col min="3085" max="3085" width="15.44140625" style="1" bestFit="1" customWidth="1"/>
    <col min="3086" max="3094" width="0" style="1" hidden="1" customWidth="1"/>
    <col min="3095" max="3096" width="9.109375" style="1"/>
    <col min="3097" max="3097" width="18" style="1" customWidth="1"/>
    <col min="3098" max="3098" width="14.88671875" style="1" customWidth="1"/>
    <col min="3099" max="3329" width="9.109375" style="1"/>
    <col min="3330" max="3330" width="32.109375" style="1" customWidth="1"/>
    <col min="3331" max="3331" width="15.88671875" style="1" customWidth="1"/>
    <col min="3332" max="3332" width="9.88671875" style="1" customWidth="1"/>
    <col min="3333" max="3333" width="14.88671875" style="1" customWidth="1"/>
    <col min="3334" max="3334" width="13" style="1" customWidth="1"/>
    <col min="3335" max="3335" width="14.88671875" style="1" customWidth="1"/>
    <col min="3336" max="3336" width="0" style="1" hidden="1" customWidth="1"/>
    <col min="3337" max="3339" width="14" style="1" customWidth="1"/>
    <col min="3340" max="3340" width="28.33203125" style="1" customWidth="1"/>
    <col min="3341" max="3341" width="15.44140625" style="1" bestFit="1" customWidth="1"/>
    <col min="3342" max="3350" width="0" style="1" hidden="1" customWidth="1"/>
    <col min="3351" max="3352" width="9.109375" style="1"/>
    <col min="3353" max="3353" width="18" style="1" customWidth="1"/>
    <col min="3354" max="3354" width="14.88671875" style="1" customWidth="1"/>
    <col min="3355" max="3585" width="9.109375" style="1"/>
    <col min="3586" max="3586" width="32.109375" style="1" customWidth="1"/>
    <col min="3587" max="3587" width="15.88671875" style="1" customWidth="1"/>
    <col min="3588" max="3588" width="9.88671875" style="1" customWidth="1"/>
    <col min="3589" max="3589" width="14.88671875" style="1" customWidth="1"/>
    <col min="3590" max="3590" width="13" style="1" customWidth="1"/>
    <col min="3591" max="3591" width="14.88671875" style="1" customWidth="1"/>
    <col min="3592" max="3592" width="0" style="1" hidden="1" customWidth="1"/>
    <col min="3593" max="3595" width="14" style="1" customWidth="1"/>
    <col min="3596" max="3596" width="28.33203125" style="1" customWidth="1"/>
    <col min="3597" max="3597" width="15.44140625" style="1" bestFit="1" customWidth="1"/>
    <col min="3598" max="3606" width="0" style="1" hidden="1" customWidth="1"/>
    <col min="3607" max="3608" width="9.109375" style="1"/>
    <col min="3609" max="3609" width="18" style="1" customWidth="1"/>
    <col min="3610" max="3610" width="14.88671875" style="1" customWidth="1"/>
    <col min="3611" max="3841" width="9.109375" style="1"/>
    <col min="3842" max="3842" width="32.109375" style="1" customWidth="1"/>
    <col min="3843" max="3843" width="15.88671875" style="1" customWidth="1"/>
    <col min="3844" max="3844" width="9.88671875" style="1" customWidth="1"/>
    <col min="3845" max="3845" width="14.88671875" style="1" customWidth="1"/>
    <col min="3846" max="3846" width="13" style="1" customWidth="1"/>
    <col min="3847" max="3847" width="14.88671875" style="1" customWidth="1"/>
    <col min="3848" max="3848" width="0" style="1" hidden="1" customWidth="1"/>
    <col min="3849" max="3851" width="14" style="1" customWidth="1"/>
    <col min="3852" max="3852" width="28.33203125" style="1" customWidth="1"/>
    <col min="3853" max="3853" width="15.44140625" style="1" bestFit="1" customWidth="1"/>
    <col min="3854" max="3862" width="0" style="1" hidden="1" customWidth="1"/>
    <col min="3863" max="3864" width="9.109375" style="1"/>
    <col min="3865" max="3865" width="18" style="1" customWidth="1"/>
    <col min="3866" max="3866" width="14.88671875" style="1" customWidth="1"/>
    <col min="3867" max="4097" width="9.109375" style="1"/>
    <col min="4098" max="4098" width="32.109375" style="1" customWidth="1"/>
    <col min="4099" max="4099" width="15.88671875" style="1" customWidth="1"/>
    <col min="4100" max="4100" width="9.88671875" style="1" customWidth="1"/>
    <col min="4101" max="4101" width="14.88671875" style="1" customWidth="1"/>
    <col min="4102" max="4102" width="13" style="1" customWidth="1"/>
    <col min="4103" max="4103" width="14.88671875" style="1" customWidth="1"/>
    <col min="4104" max="4104" width="0" style="1" hidden="1" customWidth="1"/>
    <col min="4105" max="4107" width="14" style="1" customWidth="1"/>
    <col min="4108" max="4108" width="28.33203125" style="1" customWidth="1"/>
    <col min="4109" max="4109" width="15.44140625" style="1" bestFit="1" customWidth="1"/>
    <col min="4110" max="4118" width="0" style="1" hidden="1" customWidth="1"/>
    <col min="4119" max="4120" width="9.109375" style="1"/>
    <col min="4121" max="4121" width="18" style="1" customWidth="1"/>
    <col min="4122" max="4122" width="14.88671875" style="1" customWidth="1"/>
    <col min="4123" max="4353" width="9.109375" style="1"/>
    <col min="4354" max="4354" width="32.109375" style="1" customWidth="1"/>
    <col min="4355" max="4355" width="15.88671875" style="1" customWidth="1"/>
    <col min="4356" max="4356" width="9.88671875" style="1" customWidth="1"/>
    <col min="4357" max="4357" width="14.88671875" style="1" customWidth="1"/>
    <col min="4358" max="4358" width="13" style="1" customWidth="1"/>
    <col min="4359" max="4359" width="14.88671875" style="1" customWidth="1"/>
    <col min="4360" max="4360" width="0" style="1" hidden="1" customWidth="1"/>
    <col min="4361" max="4363" width="14" style="1" customWidth="1"/>
    <col min="4364" max="4364" width="28.33203125" style="1" customWidth="1"/>
    <col min="4365" max="4365" width="15.44140625" style="1" bestFit="1" customWidth="1"/>
    <col min="4366" max="4374" width="0" style="1" hidden="1" customWidth="1"/>
    <col min="4375" max="4376" width="9.109375" style="1"/>
    <col min="4377" max="4377" width="18" style="1" customWidth="1"/>
    <col min="4378" max="4378" width="14.88671875" style="1" customWidth="1"/>
    <col min="4379" max="4609" width="9.109375" style="1"/>
    <col min="4610" max="4610" width="32.109375" style="1" customWidth="1"/>
    <col min="4611" max="4611" width="15.88671875" style="1" customWidth="1"/>
    <col min="4612" max="4612" width="9.88671875" style="1" customWidth="1"/>
    <col min="4613" max="4613" width="14.88671875" style="1" customWidth="1"/>
    <col min="4614" max="4614" width="13" style="1" customWidth="1"/>
    <col min="4615" max="4615" width="14.88671875" style="1" customWidth="1"/>
    <col min="4616" max="4616" width="0" style="1" hidden="1" customWidth="1"/>
    <col min="4617" max="4619" width="14" style="1" customWidth="1"/>
    <col min="4620" max="4620" width="28.33203125" style="1" customWidth="1"/>
    <col min="4621" max="4621" width="15.44140625" style="1" bestFit="1" customWidth="1"/>
    <col min="4622" max="4630" width="0" style="1" hidden="1" customWidth="1"/>
    <col min="4631" max="4632" width="9.109375" style="1"/>
    <col min="4633" max="4633" width="18" style="1" customWidth="1"/>
    <col min="4634" max="4634" width="14.88671875" style="1" customWidth="1"/>
    <col min="4635" max="4865" width="9.109375" style="1"/>
    <col min="4866" max="4866" width="32.109375" style="1" customWidth="1"/>
    <col min="4867" max="4867" width="15.88671875" style="1" customWidth="1"/>
    <col min="4868" max="4868" width="9.88671875" style="1" customWidth="1"/>
    <col min="4869" max="4869" width="14.88671875" style="1" customWidth="1"/>
    <col min="4870" max="4870" width="13" style="1" customWidth="1"/>
    <col min="4871" max="4871" width="14.88671875" style="1" customWidth="1"/>
    <col min="4872" max="4872" width="0" style="1" hidden="1" customWidth="1"/>
    <col min="4873" max="4875" width="14" style="1" customWidth="1"/>
    <col min="4876" max="4876" width="28.33203125" style="1" customWidth="1"/>
    <col min="4877" max="4877" width="15.44140625" style="1" bestFit="1" customWidth="1"/>
    <col min="4878" max="4886" width="0" style="1" hidden="1" customWidth="1"/>
    <col min="4887" max="4888" width="9.109375" style="1"/>
    <col min="4889" max="4889" width="18" style="1" customWidth="1"/>
    <col min="4890" max="4890" width="14.88671875" style="1" customWidth="1"/>
    <col min="4891" max="5121" width="9.109375" style="1"/>
    <col min="5122" max="5122" width="32.109375" style="1" customWidth="1"/>
    <col min="5123" max="5123" width="15.88671875" style="1" customWidth="1"/>
    <col min="5124" max="5124" width="9.88671875" style="1" customWidth="1"/>
    <col min="5125" max="5125" width="14.88671875" style="1" customWidth="1"/>
    <col min="5126" max="5126" width="13" style="1" customWidth="1"/>
    <col min="5127" max="5127" width="14.88671875" style="1" customWidth="1"/>
    <col min="5128" max="5128" width="0" style="1" hidden="1" customWidth="1"/>
    <col min="5129" max="5131" width="14" style="1" customWidth="1"/>
    <col min="5132" max="5132" width="28.33203125" style="1" customWidth="1"/>
    <col min="5133" max="5133" width="15.44140625" style="1" bestFit="1" customWidth="1"/>
    <col min="5134" max="5142" width="0" style="1" hidden="1" customWidth="1"/>
    <col min="5143" max="5144" width="9.109375" style="1"/>
    <col min="5145" max="5145" width="18" style="1" customWidth="1"/>
    <col min="5146" max="5146" width="14.88671875" style="1" customWidth="1"/>
    <col min="5147" max="5377" width="9.109375" style="1"/>
    <col min="5378" max="5378" width="32.109375" style="1" customWidth="1"/>
    <col min="5379" max="5379" width="15.88671875" style="1" customWidth="1"/>
    <col min="5380" max="5380" width="9.88671875" style="1" customWidth="1"/>
    <col min="5381" max="5381" width="14.88671875" style="1" customWidth="1"/>
    <col min="5382" max="5382" width="13" style="1" customWidth="1"/>
    <col min="5383" max="5383" width="14.88671875" style="1" customWidth="1"/>
    <col min="5384" max="5384" width="0" style="1" hidden="1" customWidth="1"/>
    <col min="5385" max="5387" width="14" style="1" customWidth="1"/>
    <col min="5388" max="5388" width="28.33203125" style="1" customWidth="1"/>
    <col min="5389" max="5389" width="15.44140625" style="1" bestFit="1" customWidth="1"/>
    <col min="5390" max="5398" width="0" style="1" hidden="1" customWidth="1"/>
    <col min="5399" max="5400" width="9.109375" style="1"/>
    <col min="5401" max="5401" width="18" style="1" customWidth="1"/>
    <col min="5402" max="5402" width="14.88671875" style="1" customWidth="1"/>
    <col min="5403" max="5633" width="9.109375" style="1"/>
    <col min="5634" max="5634" width="32.109375" style="1" customWidth="1"/>
    <col min="5635" max="5635" width="15.88671875" style="1" customWidth="1"/>
    <col min="5636" max="5636" width="9.88671875" style="1" customWidth="1"/>
    <col min="5637" max="5637" width="14.88671875" style="1" customWidth="1"/>
    <col min="5638" max="5638" width="13" style="1" customWidth="1"/>
    <col min="5639" max="5639" width="14.88671875" style="1" customWidth="1"/>
    <col min="5640" max="5640" width="0" style="1" hidden="1" customWidth="1"/>
    <col min="5641" max="5643" width="14" style="1" customWidth="1"/>
    <col min="5644" max="5644" width="28.33203125" style="1" customWidth="1"/>
    <col min="5645" max="5645" width="15.44140625" style="1" bestFit="1" customWidth="1"/>
    <col min="5646" max="5654" width="0" style="1" hidden="1" customWidth="1"/>
    <col min="5655" max="5656" width="9.109375" style="1"/>
    <col min="5657" max="5657" width="18" style="1" customWidth="1"/>
    <col min="5658" max="5658" width="14.88671875" style="1" customWidth="1"/>
    <col min="5659" max="5889" width="9.109375" style="1"/>
    <col min="5890" max="5890" width="32.109375" style="1" customWidth="1"/>
    <col min="5891" max="5891" width="15.88671875" style="1" customWidth="1"/>
    <col min="5892" max="5892" width="9.88671875" style="1" customWidth="1"/>
    <col min="5893" max="5893" width="14.88671875" style="1" customWidth="1"/>
    <col min="5894" max="5894" width="13" style="1" customWidth="1"/>
    <col min="5895" max="5895" width="14.88671875" style="1" customWidth="1"/>
    <col min="5896" max="5896" width="0" style="1" hidden="1" customWidth="1"/>
    <col min="5897" max="5899" width="14" style="1" customWidth="1"/>
    <col min="5900" max="5900" width="28.33203125" style="1" customWidth="1"/>
    <col min="5901" max="5901" width="15.44140625" style="1" bestFit="1" customWidth="1"/>
    <col min="5902" max="5910" width="0" style="1" hidden="1" customWidth="1"/>
    <col min="5911" max="5912" width="9.109375" style="1"/>
    <col min="5913" max="5913" width="18" style="1" customWidth="1"/>
    <col min="5914" max="5914" width="14.88671875" style="1" customWidth="1"/>
    <col min="5915" max="6145" width="9.109375" style="1"/>
    <col min="6146" max="6146" width="32.109375" style="1" customWidth="1"/>
    <col min="6147" max="6147" width="15.88671875" style="1" customWidth="1"/>
    <col min="6148" max="6148" width="9.88671875" style="1" customWidth="1"/>
    <col min="6149" max="6149" width="14.88671875" style="1" customWidth="1"/>
    <col min="6150" max="6150" width="13" style="1" customWidth="1"/>
    <col min="6151" max="6151" width="14.88671875" style="1" customWidth="1"/>
    <col min="6152" max="6152" width="0" style="1" hidden="1" customWidth="1"/>
    <col min="6153" max="6155" width="14" style="1" customWidth="1"/>
    <col min="6156" max="6156" width="28.33203125" style="1" customWidth="1"/>
    <col min="6157" max="6157" width="15.44140625" style="1" bestFit="1" customWidth="1"/>
    <col min="6158" max="6166" width="0" style="1" hidden="1" customWidth="1"/>
    <col min="6167" max="6168" width="9.109375" style="1"/>
    <col min="6169" max="6169" width="18" style="1" customWidth="1"/>
    <col min="6170" max="6170" width="14.88671875" style="1" customWidth="1"/>
    <col min="6171" max="6401" width="9.109375" style="1"/>
    <col min="6402" max="6402" width="32.109375" style="1" customWidth="1"/>
    <col min="6403" max="6403" width="15.88671875" style="1" customWidth="1"/>
    <col min="6404" max="6404" width="9.88671875" style="1" customWidth="1"/>
    <col min="6405" max="6405" width="14.88671875" style="1" customWidth="1"/>
    <col min="6406" max="6406" width="13" style="1" customWidth="1"/>
    <col min="6407" max="6407" width="14.88671875" style="1" customWidth="1"/>
    <col min="6408" max="6408" width="0" style="1" hidden="1" customWidth="1"/>
    <col min="6409" max="6411" width="14" style="1" customWidth="1"/>
    <col min="6412" max="6412" width="28.33203125" style="1" customWidth="1"/>
    <col min="6413" max="6413" width="15.44140625" style="1" bestFit="1" customWidth="1"/>
    <col min="6414" max="6422" width="0" style="1" hidden="1" customWidth="1"/>
    <col min="6423" max="6424" width="9.109375" style="1"/>
    <col min="6425" max="6425" width="18" style="1" customWidth="1"/>
    <col min="6426" max="6426" width="14.88671875" style="1" customWidth="1"/>
    <col min="6427" max="6657" width="9.109375" style="1"/>
    <col min="6658" max="6658" width="32.109375" style="1" customWidth="1"/>
    <col min="6659" max="6659" width="15.88671875" style="1" customWidth="1"/>
    <col min="6660" max="6660" width="9.88671875" style="1" customWidth="1"/>
    <col min="6661" max="6661" width="14.88671875" style="1" customWidth="1"/>
    <col min="6662" max="6662" width="13" style="1" customWidth="1"/>
    <col min="6663" max="6663" width="14.88671875" style="1" customWidth="1"/>
    <col min="6664" max="6664" width="0" style="1" hidden="1" customWidth="1"/>
    <col min="6665" max="6667" width="14" style="1" customWidth="1"/>
    <col min="6668" max="6668" width="28.33203125" style="1" customWidth="1"/>
    <col min="6669" max="6669" width="15.44140625" style="1" bestFit="1" customWidth="1"/>
    <col min="6670" max="6678" width="0" style="1" hidden="1" customWidth="1"/>
    <col min="6679" max="6680" width="9.109375" style="1"/>
    <col min="6681" max="6681" width="18" style="1" customWidth="1"/>
    <col min="6682" max="6682" width="14.88671875" style="1" customWidth="1"/>
    <col min="6683" max="6913" width="9.109375" style="1"/>
    <col min="6914" max="6914" width="32.109375" style="1" customWidth="1"/>
    <col min="6915" max="6915" width="15.88671875" style="1" customWidth="1"/>
    <col min="6916" max="6916" width="9.88671875" style="1" customWidth="1"/>
    <col min="6917" max="6917" width="14.88671875" style="1" customWidth="1"/>
    <col min="6918" max="6918" width="13" style="1" customWidth="1"/>
    <col min="6919" max="6919" width="14.88671875" style="1" customWidth="1"/>
    <col min="6920" max="6920" width="0" style="1" hidden="1" customWidth="1"/>
    <col min="6921" max="6923" width="14" style="1" customWidth="1"/>
    <col min="6924" max="6924" width="28.33203125" style="1" customWidth="1"/>
    <col min="6925" max="6925" width="15.44140625" style="1" bestFit="1" customWidth="1"/>
    <col min="6926" max="6934" width="0" style="1" hidden="1" customWidth="1"/>
    <col min="6935" max="6936" width="9.109375" style="1"/>
    <col min="6937" max="6937" width="18" style="1" customWidth="1"/>
    <col min="6938" max="6938" width="14.88671875" style="1" customWidth="1"/>
    <col min="6939" max="7169" width="9.109375" style="1"/>
    <col min="7170" max="7170" width="32.109375" style="1" customWidth="1"/>
    <col min="7171" max="7171" width="15.88671875" style="1" customWidth="1"/>
    <col min="7172" max="7172" width="9.88671875" style="1" customWidth="1"/>
    <col min="7173" max="7173" width="14.88671875" style="1" customWidth="1"/>
    <col min="7174" max="7174" width="13" style="1" customWidth="1"/>
    <col min="7175" max="7175" width="14.88671875" style="1" customWidth="1"/>
    <col min="7176" max="7176" width="0" style="1" hidden="1" customWidth="1"/>
    <col min="7177" max="7179" width="14" style="1" customWidth="1"/>
    <col min="7180" max="7180" width="28.33203125" style="1" customWidth="1"/>
    <col min="7181" max="7181" width="15.44140625" style="1" bestFit="1" customWidth="1"/>
    <col min="7182" max="7190" width="0" style="1" hidden="1" customWidth="1"/>
    <col min="7191" max="7192" width="9.109375" style="1"/>
    <col min="7193" max="7193" width="18" style="1" customWidth="1"/>
    <col min="7194" max="7194" width="14.88671875" style="1" customWidth="1"/>
    <col min="7195" max="7425" width="9.109375" style="1"/>
    <col min="7426" max="7426" width="32.109375" style="1" customWidth="1"/>
    <col min="7427" max="7427" width="15.88671875" style="1" customWidth="1"/>
    <col min="7428" max="7428" width="9.88671875" style="1" customWidth="1"/>
    <col min="7429" max="7429" width="14.88671875" style="1" customWidth="1"/>
    <col min="7430" max="7430" width="13" style="1" customWidth="1"/>
    <col min="7431" max="7431" width="14.88671875" style="1" customWidth="1"/>
    <col min="7432" max="7432" width="0" style="1" hidden="1" customWidth="1"/>
    <col min="7433" max="7435" width="14" style="1" customWidth="1"/>
    <col min="7436" max="7436" width="28.33203125" style="1" customWidth="1"/>
    <col min="7437" max="7437" width="15.44140625" style="1" bestFit="1" customWidth="1"/>
    <col min="7438" max="7446" width="0" style="1" hidden="1" customWidth="1"/>
    <col min="7447" max="7448" width="9.109375" style="1"/>
    <col min="7449" max="7449" width="18" style="1" customWidth="1"/>
    <col min="7450" max="7450" width="14.88671875" style="1" customWidth="1"/>
    <col min="7451" max="7681" width="9.109375" style="1"/>
    <col min="7682" max="7682" width="32.109375" style="1" customWidth="1"/>
    <col min="7683" max="7683" width="15.88671875" style="1" customWidth="1"/>
    <col min="7684" max="7684" width="9.88671875" style="1" customWidth="1"/>
    <col min="7685" max="7685" width="14.88671875" style="1" customWidth="1"/>
    <col min="7686" max="7686" width="13" style="1" customWidth="1"/>
    <col min="7687" max="7687" width="14.88671875" style="1" customWidth="1"/>
    <col min="7688" max="7688" width="0" style="1" hidden="1" customWidth="1"/>
    <col min="7689" max="7691" width="14" style="1" customWidth="1"/>
    <col min="7692" max="7692" width="28.33203125" style="1" customWidth="1"/>
    <col min="7693" max="7693" width="15.44140625" style="1" bestFit="1" customWidth="1"/>
    <col min="7694" max="7702" width="0" style="1" hidden="1" customWidth="1"/>
    <col min="7703" max="7704" width="9.109375" style="1"/>
    <col min="7705" max="7705" width="18" style="1" customWidth="1"/>
    <col min="7706" max="7706" width="14.88671875" style="1" customWidth="1"/>
    <col min="7707" max="7937" width="9.109375" style="1"/>
    <col min="7938" max="7938" width="32.109375" style="1" customWidth="1"/>
    <col min="7939" max="7939" width="15.88671875" style="1" customWidth="1"/>
    <col min="7940" max="7940" width="9.88671875" style="1" customWidth="1"/>
    <col min="7941" max="7941" width="14.88671875" style="1" customWidth="1"/>
    <col min="7942" max="7942" width="13" style="1" customWidth="1"/>
    <col min="7943" max="7943" width="14.88671875" style="1" customWidth="1"/>
    <col min="7944" max="7944" width="0" style="1" hidden="1" customWidth="1"/>
    <col min="7945" max="7947" width="14" style="1" customWidth="1"/>
    <col min="7948" max="7948" width="28.33203125" style="1" customWidth="1"/>
    <col min="7949" max="7949" width="15.44140625" style="1" bestFit="1" customWidth="1"/>
    <col min="7950" max="7958" width="0" style="1" hidden="1" customWidth="1"/>
    <col min="7959" max="7960" width="9.109375" style="1"/>
    <col min="7961" max="7961" width="18" style="1" customWidth="1"/>
    <col min="7962" max="7962" width="14.88671875" style="1" customWidth="1"/>
    <col min="7963" max="8193" width="9.109375" style="1"/>
    <col min="8194" max="8194" width="32.109375" style="1" customWidth="1"/>
    <col min="8195" max="8195" width="15.88671875" style="1" customWidth="1"/>
    <col min="8196" max="8196" width="9.88671875" style="1" customWidth="1"/>
    <col min="8197" max="8197" width="14.88671875" style="1" customWidth="1"/>
    <col min="8198" max="8198" width="13" style="1" customWidth="1"/>
    <col min="8199" max="8199" width="14.88671875" style="1" customWidth="1"/>
    <col min="8200" max="8200" width="0" style="1" hidden="1" customWidth="1"/>
    <col min="8201" max="8203" width="14" style="1" customWidth="1"/>
    <col min="8204" max="8204" width="28.33203125" style="1" customWidth="1"/>
    <col min="8205" max="8205" width="15.44140625" style="1" bestFit="1" customWidth="1"/>
    <col min="8206" max="8214" width="0" style="1" hidden="1" customWidth="1"/>
    <col min="8215" max="8216" width="9.109375" style="1"/>
    <col min="8217" max="8217" width="18" style="1" customWidth="1"/>
    <col min="8218" max="8218" width="14.88671875" style="1" customWidth="1"/>
    <col min="8219" max="8449" width="9.109375" style="1"/>
    <col min="8450" max="8450" width="32.109375" style="1" customWidth="1"/>
    <col min="8451" max="8451" width="15.88671875" style="1" customWidth="1"/>
    <col min="8452" max="8452" width="9.88671875" style="1" customWidth="1"/>
    <col min="8453" max="8453" width="14.88671875" style="1" customWidth="1"/>
    <col min="8454" max="8454" width="13" style="1" customWidth="1"/>
    <col min="8455" max="8455" width="14.88671875" style="1" customWidth="1"/>
    <col min="8456" max="8456" width="0" style="1" hidden="1" customWidth="1"/>
    <col min="8457" max="8459" width="14" style="1" customWidth="1"/>
    <col min="8460" max="8460" width="28.33203125" style="1" customWidth="1"/>
    <col min="8461" max="8461" width="15.44140625" style="1" bestFit="1" customWidth="1"/>
    <col min="8462" max="8470" width="0" style="1" hidden="1" customWidth="1"/>
    <col min="8471" max="8472" width="9.109375" style="1"/>
    <col min="8473" max="8473" width="18" style="1" customWidth="1"/>
    <col min="8474" max="8474" width="14.88671875" style="1" customWidth="1"/>
    <col min="8475" max="8705" width="9.109375" style="1"/>
    <col min="8706" max="8706" width="32.109375" style="1" customWidth="1"/>
    <col min="8707" max="8707" width="15.88671875" style="1" customWidth="1"/>
    <col min="8708" max="8708" width="9.88671875" style="1" customWidth="1"/>
    <col min="8709" max="8709" width="14.88671875" style="1" customWidth="1"/>
    <col min="8710" max="8710" width="13" style="1" customWidth="1"/>
    <col min="8711" max="8711" width="14.88671875" style="1" customWidth="1"/>
    <col min="8712" max="8712" width="0" style="1" hidden="1" customWidth="1"/>
    <col min="8713" max="8715" width="14" style="1" customWidth="1"/>
    <col min="8716" max="8716" width="28.33203125" style="1" customWidth="1"/>
    <col min="8717" max="8717" width="15.44140625" style="1" bestFit="1" customWidth="1"/>
    <col min="8718" max="8726" width="0" style="1" hidden="1" customWidth="1"/>
    <col min="8727" max="8728" width="9.109375" style="1"/>
    <col min="8729" max="8729" width="18" style="1" customWidth="1"/>
    <col min="8730" max="8730" width="14.88671875" style="1" customWidth="1"/>
    <col min="8731" max="8961" width="9.109375" style="1"/>
    <col min="8962" max="8962" width="32.109375" style="1" customWidth="1"/>
    <col min="8963" max="8963" width="15.88671875" style="1" customWidth="1"/>
    <col min="8964" max="8964" width="9.88671875" style="1" customWidth="1"/>
    <col min="8965" max="8965" width="14.88671875" style="1" customWidth="1"/>
    <col min="8966" max="8966" width="13" style="1" customWidth="1"/>
    <col min="8967" max="8967" width="14.88671875" style="1" customWidth="1"/>
    <col min="8968" max="8968" width="0" style="1" hidden="1" customWidth="1"/>
    <col min="8969" max="8971" width="14" style="1" customWidth="1"/>
    <col min="8972" max="8972" width="28.33203125" style="1" customWidth="1"/>
    <col min="8973" max="8973" width="15.44140625" style="1" bestFit="1" customWidth="1"/>
    <col min="8974" max="8982" width="0" style="1" hidden="1" customWidth="1"/>
    <col min="8983" max="8984" width="9.109375" style="1"/>
    <col min="8985" max="8985" width="18" style="1" customWidth="1"/>
    <col min="8986" max="8986" width="14.88671875" style="1" customWidth="1"/>
    <col min="8987" max="9217" width="9.109375" style="1"/>
    <col min="9218" max="9218" width="32.109375" style="1" customWidth="1"/>
    <col min="9219" max="9219" width="15.88671875" style="1" customWidth="1"/>
    <col min="9220" max="9220" width="9.88671875" style="1" customWidth="1"/>
    <col min="9221" max="9221" width="14.88671875" style="1" customWidth="1"/>
    <col min="9222" max="9222" width="13" style="1" customWidth="1"/>
    <col min="9223" max="9223" width="14.88671875" style="1" customWidth="1"/>
    <col min="9224" max="9224" width="0" style="1" hidden="1" customWidth="1"/>
    <col min="9225" max="9227" width="14" style="1" customWidth="1"/>
    <col min="9228" max="9228" width="28.33203125" style="1" customWidth="1"/>
    <col min="9229" max="9229" width="15.44140625" style="1" bestFit="1" customWidth="1"/>
    <col min="9230" max="9238" width="0" style="1" hidden="1" customWidth="1"/>
    <col min="9239" max="9240" width="9.109375" style="1"/>
    <col min="9241" max="9241" width="18" style="1" customWidth="1"/>
    <col min="9242" max="9242" width="14.88671875" style="1" customWidth="1"/>
    <col min="9243" max="9473" width="9.109375" style="1"/>
    <col min="9474" max="9474" width="32.109375" style="1" customWidth="1"/>
    <col min="9475" max="9475" width="15.88671875" style="1" customWidth="1"/>
    <col min="9476" max="9476" width="9.88671875" style="1" customWidth="1"/>
    <col min="9477" max="9477" width="14.88671875" style="1" customWidth="1"/>
    <col min="9478" max="9478" width="13" style="1" customWidth="1"/>
    <col min="9479" max="9479" width="14.88671875" style="1" customWidth="1"/>
    <col min="9480" max="9480" width="0" style="1" hidden="1" customWidth="1"/>
    <col min="9481" max="9483" width="14" style="1" customWidth="1"/>
    <col min="9484" max="9484" width="28.33203125" style="1" customWidth="1"/>
    <col min="9485" max="9485" width="15.44140625" style="1" bestFit="1" customWidth="1"/>
    <col min="9486" max="9494" width="0" style="1" hidden="1" customWidth="1"/>
    <col min="9495" max="9496" width="9.109375" style="1"/>
    <col min="9497" max="9497" width="18" style="1" customWidth="1"/>
    <col min="9498" max="9498" width="14.88671875" style="1" customWidth="1"/>
    <col min="9499" max="9729" width="9.109375" style="1"/>
    <col min="9730" max="9730" width="32.109375" style="1" customWidth="1"/>
    <col min="9731" max="9731" width="15.88671875" style="1" customWidth="1"/>
    <col min="9732" max="9732" width="9.88671875" style="1" customWidth="1"/>
    <col min="9733" max="9733" width="14.88671875" style="1" customWidth="1"/>
    <col min="9734" max="9734" width="13" style="1" customWidth="1"/>
    <col min="9735" max="9735" width="14.88671875" style="1" customWidth="1"/>
    <col min="9736" max="9736" width="0" style="1" hidden="1" customWidth="1"/>
    <col min="9737" max="9739" width="14" style="1" customWidth="1"/>
    <col min="9740" max="9740" width="28.33203125" style="1" customWidth="1"/>
    <col min="9741" max="9741" width="15.44140625" style="1" bestFit="1" customWidth="1"/>
    <col min="9742" max="9750" width="0" style="1" hidden="1" customWidth="1"/>
    <col min="9751" max="9752" width="9.109375" style="1"/>
    <col min="9753" max="9753" width="18" style="1" customWidth="1"/>
    <col min="9754" max="9754" width="14.88671875" style="1" customWidth="1"/>
    <col min="9755" max="9985" width="9.109375" style="1"/>
    <col min="9986" max="9986" width="32.109375" style="1" customWidth="1"/>
    <col min="9987" max="9987" width="15.88671875" style="1" customWidth="1"/>
    <col min="9988" max="9988" width="9.88671875" style="1" customWidth="1"/>
    <col min="9989" max="9989" width="14.88671875" style="1" customWidth="1"/>
    <col min="9990" max="9990" width="13" style="1" customWidth="1"/>
    <col min="9991" max="9991" width="14.88671875" style="1" customWidth="1"/>
    <col min="9992" max="9992" width="0" style="1" hidden="1" customWidth="1"/>
    <col min="9993" max="9995" width="14" style="1" customWidth="1"/>
    <col min="9996" max="9996" width="28.33203125" style="1" customWidth="1"/>
    <col min="9997" max="9997" width="15.44140625" style="1" bestFit="1" customWidth="1"/>
    <col min="9998" max="10006" width="0" style="1" hidden="1" customWidth="1"/>
    <col min="10007" max="10008" width="9.109375" style="1"/>
    <col min="10009" max="10009" width="18" style="1" customWidth="1"/>
    <col min="10010" max="10010" width="14.88671875" style="1" customWidth="1"/>
    <col min="10011" max="10241" width="9.109375" style="1"/>
    <col min="10242" max="10242" width="32.109375" style="1" customWidth="1"/>
    <col min="10243" max="10243" width="15.88671875" style="1" customWidth="1"/>
    <col min="10244" max="10244" width="9.88671875" style="1" customWidth="1"/>
    <col min="10245" max="10245" width="14.88671875" style="1" customWidth="1"/>
    <col min="10246" max="10246" width="13" style="1" customWidth="1"/>
    <col min="10247" max="10247" width="14.88671875" style="1" customWidth="1"/>
    <col min="10248" max="10248" width="0" style="1" hidden="1" customWidth="1"/>
    <col min="10249" max="10251" width="14" style="1" customWidth="1"/>
    <col min="10252" max="10252" width="28.33203125" style="1" customWidth="1"/>
    <col min="10253" max="10253" width="15.44140625" style="1" bestFit="1" customWidth="1"/>
    <col min="10254" max="10262" width="0" style="1" hidden="1" customWidth="1"/>
    <col min="10263" max="10264" width="9.109375" style="1"/>
    <col min="10265" max="10265" width="18" style="1" customWidth="1"/>
    <col min="10266" max="10266" width="14.88671875" style="1" customWidth="1"/>
    <col min="10267" max="10497" width="9.109375" style="1"/>
    <col min="10498" max="10498" width="32.109375" style="1" customWidth="1"/>
    <col min="10499" max="10499" width="15.88671875" style="1" customWidth="1"/>
    <col min="10500" max="10500" width="9.88671875" style="1" customWidth="1"/>
    <col min="10501" max="10501" width="14.88671875" style="1" customWidth="1"/>
    <col min="10502" max="10502" width="13" style="1" customWidth="1"/>
    <col min="10503" max="10503" width="14.88671875" style="1" customWidth="1"/>
    <col min="10504" max="10504" width="0" style="1" hidden="1" customWidth="1"/>
    <col min="10505" max="10507" width="14" style="1" customWidth="1"/>
    <col min="10508" max="10508" width="28.33203125" style="1" customWidth="1"/>
    <col min="10509" max="10509" width="15.44140625" style="1" bestFit="1" customWidth="1"/>
    <col min="10510" max="10518" width="0" style="1" hidden="1" customWidth="1"/>
    <col min="10519" max="10520" width="9.109375" style="1"/>
    <col min="10521" max="10521" width="18" style="1" customWidth="1"/>
    <col min="10522" max="10522" width="14.88671875" style="1" customWidth="1"/>
    <col min="10523" max="10753" width="9.109375" style="1"/>
    <col min="10754" max="10754" width="32.109375" style="1" customWidth="1"/>
    <col min="10755" max="10755" width="15.88671875" style="1" customWidth="1"/>
    <col min="10756" max="10756" width="9.88671875" style="1" customWidth="1"/>
    <col min="10757" max="10757" width="14.88671875" style="1" customWidth="1"/>
    <col min="10758" max="10758" width="13" style="1" customWidth="1"/>
    <col min="10759" max="10759" width="14.88671875" style="1" customWidth="1"/>
    <col min="10760" max="10760" width="0" style="1" hidden="1" customWidth="1"/>
    <col min="10761" max="10763" width="14" style="1" customWidth="1"/>
    <col min="10764" max="10764" width="28.33203125" style="1" customWidth="1"/>
    <col min="10765" max="10765" width="15.44140625" style="1" bestFit="1" customWidth="1"/>
    <col min="10766" max="10774" width="0" style="1" hidden="1" customWidth="1"/>
    <col min="10775" max="10776" width="9.109375" style="1"/>
    <col min="10777" max="10777" width="18" style="1" customWidth="1"/>
    <col min="10778" max="10778" width="14.88671875" style="1" customWidth="1"/>
    <col min="10779" max="11009" width="9.109375" style="1"/>
    <col min="11010" max="11010" width="32.109375" style="1" customWidth="1"/>
    <col min="11011" max="11011" width="15.88671875" style="1" customWidth="1"/>
    <col min="11012" max="11012" width="9.88671875" style="1" customWidth="1"/>
    <col min="11013" max="11013" width="14.88671875" style="1" customWidth="1"/>
    <col min="11014" max="11014" width="13" style="1" customWidth="1"/>
    <col min="11015" max="11015" width="14.88671875" style="1" customWidth="1"/>
    <col min="11016" max="11016" width="0" style="1" hidden="1" customWidth="1"/>
    <col min="11017" max="11019" width="14" style="1" customWidth="1"/>
    <col min="11020" max="11020" width="28.33203125" style="1" customWidth="1"/>
    <col min="11021" max="11021" width="15.44140625" style="1" bestFit="1" customWidth="1"/>
    <col min="11022" max="11030" width="0" style="1" hidden="1" customWidth="1"/>
    <col min="11031" max="11032" width="9.109375" style="1"/>
    <col min="11033" max="11033" width="18" style="1" customWidth="1"/>
    <col min="11034" max="11034" width="14.88671875" style="1" customWidth="1"/>
    <col min="11035" max="11265" width="9.109375" style="1"/>
    <col min="11266" max="11266" width="32.109375" style="1" customWidth="1"/>
    <col min="11267" max="11267" width="15.88671875" style="1" customWidth="1"/>
    <col min="11268" max="11268" width="9.88671875" style="1" customWidth="1"/>
    <col min="11269" max="11269" width="14.88671875" style="1" customWidth="1"/>
    <col min="11270" max="11270" width="13" style="1" customWidth="1"/>
    <col min="11271" max="11271" width="14.88671875" style="1" customWidth="1"/>
    <col min="11272" max="11272" width="0" style="1" hidden="1" customWidth="1"/>
    <col min="11273" max="11275" width="14" style="1" customWidth="1"/>
    <col min="11276" max="11276" width="28.33203125" style="1" customWidth="1"/>
    <col min="11277" max="11277" width="15.44140625" style="1" bestFit="1" customWidth="1"/>
    <col min="11278" max="11286" width="0" style="1" hidden="1" customWidth="1"/>
    <col min="11287" max="11288" width="9.109375" style="1"/>
    <col min="11289" max="11289" width="18" style="1" customWidth="1"/>
    <col min="11290" max="11290" width="14.88671875" style="1" customWidth="1"/>
    <col min="11291" max="11521" width="9.109375" style="1"/>
    <col min="11522" max="11522" width="32.109375" style="1" customWidth="1"/>
    <col min="11523" max="11523" width="15.88671875" style="1" customWidth="1"/>
    <col min="11524" max="11524" width="9.88671875" style="1" customWidth="1"/>
    <col min="11525" max="11525" width="14.88671875" style="1" customWidth="1"/>
    <col min="11526" max="11526" width="13" style="1" customWidth="1"/>
    <col min="11527" max="11527" width="14.88671875" style="1" customWidth="1"/>
    <col min="11528" max="11528" width="0" style="1" hidden="1" customWidth="1"/>
    <col min="11529" max="11531" width="14" style="1" customWidth="1"/>
    <col min="11532" max="11532" width="28.33203125" style="1" customWidth="1"/>
    <col min="11533" max="11533" width="15.44140625" style="1" bestFit="1" customWidth="1"/>
    <col min="11534" max="11542" width="0" style="1" hidden="1" customWidth="1"/>
    <col min="11543" max="11544" width="9.109375" style="1"/>
    <col min="11545" max="11545" width="18" style="1" customWidth="1"/>
    <col min="11546" max="11546" width="14.88671875" style="1" customWidth="1"/>
    <col min="11547" max="11777" width="9.109375" style="1"/>
    <col min="11778" max="11778" width="32.109375" style="1" customWidth="1"/>
    <col min="11779" max="11779" width="15.88671875" style="1" customWidth="1"/>
    <col min="11780" max="11780" width="9.88671875" style="1" customWidth="1"/>
    <col min="11781" max="11781" width="14.88671875" style="1" customWidth="1"/>
    <col min="11782" max="11782" width="13" style="1" customWidth="1"/>
    <col min="11783" max="11783" width="14.88671875" style="1" customWidth="1"/>
    <col min="11784" max="11784" width="0" style="1" hidden="1" customWidth="1"/>
    <col min="11785" max="11787" width="14" style="1" customWidth="1"/>
    <col min="11788" max="11788" width="28.33203125" style="1" customWidth="1"/>
    <col min="11789" max="11789" width="15.44140625" style="1" bestFit="1" customWidth="1"/>
    <col min="11790" max="11798" width="0" style="1" hidden="1" customWidth="1"/>
    <col min="11799" max="11800" width="9.109375" style="1"/>
    <col min="11801" max="11801" width="18" style="1" customWidth="1"/>
    <col min="11802" max="11802" width="14.88671875" style="1" customWidth="1"/>
    <col min="11803" max="12033" width="9.109375" style="1"/>
    <col min="12034" max="12034" width="32.109375" style="1" customWidth="1"/>
    <col min="12035" max="12035" width="15.88671875" style="1" customWidth="1"/>
    <col min="12036" max="12036" width="9.88671875" style="1" customWidth="1"/>
    <col min="12037" max="12037" width="14.88671875" style="1" customWidth="1"/>
    <col min="12038" max="12038" width="13" style="1" customWidth="1"/>
    <col min="12039" max="12039" width="14.88671875" style="1" customWidth="1"/>
    <col min="12040" max="12040" width="0" style="1" hidden="1" customWidth="1"/>
    <col min="12041" max="12043" width="14" style="1" customWidth="1"/>
    <col min="12044" max="12044" width="28.33203125" style="1" customWidth="1"/>
    <col min="12045" max="12045" width="15.44140625" style="1" bestFit="1" customWidth="1"/>
    <col min="12046" max="12054" width="0" style="1" hidden="1" customWidth="1"/>
    <col min="12055" max="12056" width="9.109375" style="1"/>
    <col min="12057" max="12057" width="18" style="1" customWidth="1"/>
    <col min="12058" max="12058" width="14.88671875" style="1" customWidth="1"/>
    <col min="12059" max="12289" width="9.109375" style="1"/>
    <col min="12290" max="12290" width="32.109375" style="1" customWidth="1"/>
    <col min="12291" max="12291" width="15.88671875" style="1" customWidth="1"/>
    <col min="12292" max="12292" width="9.88671875" style="1" customWidth="1"/>
    <col min="12293" max="12293" width="14.88671875" style="1" customWidth="1"/>
    <col min="12294" max="12294" width="13" style="1" customWidth="1"/>
    <col min="12295" max="12295" width="14.88671875" style="1" customWidth="1"/>
    <col min="12296" max="12296" width="0" style="1" hidden="1" customWidth="1"/>
    <col min="12297" max="12299" width="14" style="1" customWidth="1"/>
    <col min="12300" max="12300" width="28.33203125" style="1" customWidth="1"/>
    <col min="12301" max="12301" width="15.44140625" style="1" bestFit="1" customWidth="1"/>
    <col min="12302" max="12310" width="0" style="1" hidden="1" customWidth="1"/>
    <col min="12311" max="12312" width="9.109375" style="1"/>
    <col min="12313" max="12313" width="18" style="1" customWidth="1"/>
    <col min="12314" max="12314" width="14.88671875" style="1" customWidth="1"/>
    <col min="12315" max="12545" width="9.109375" style="1"/>
    <col min="12546" max="12546" width="32.109375" style="1" customWidth="1"/>
    <col min="12547" max="12547" width="15.88671875" style="1" customWidth="1"/>
    <col min="12548" max="12548" width="9.88671875" style="1" customWidth="1"/>
    <col min="12549" max="12549" width="14.88671875" style="1" customWidth="1"/>
    <col min="12550" max="12550" width="13" style="1" customWidth="1"/>
    <col min="12551" max="12551" width="14.88671875" style="1" customWidth="1"/>
    <col min="12552" max="12552" width="0" style="1" hidden="1" customWidth="1"/>
    <col min="12553" max="12555" width="14" style="1" customWidth="1"/>
    <col min="12556" max="12556" width="28.33203125" style="1" customWidth="1"/>
    <col min="12557" max="12557" width="15.44140625" style="1" bestFit="1" customWidth="1"/>
    <col min="12558" max="12566" width="0" style="1" hidden="1" customWidth="1"/>
    <col min="12567" max="12568" width="9.109375" style="1"/>
    <col min="12569" max="12569" width="18" style="1" customWidth="1"/>
    <col min="12570" max="12570" width="14.88671875" style="1" customWidth="1"/>
    <col min="12571" max="12801" width="9.109375" style="1"/>
    <col min="12802" max="12802" width="32.109375" style="1" customWidth="1"/>
    <col min="12803" max="12803" width="15.88671875" style="1" customWidth="1"/>
    <col min="12804" max="12804" width="9.88671875" style="1" customWidth="1"/>
    <col min="12805" max="12805" width="14.88671875" style="1" customWidth="1"/>
    <col min="12806" max="12806" width="13" style="1" customWidth="1"/>
    <col min="12807" max="12807" width="14.88671875" style="1" customWidth="1"/>
    <col min="12808" max="12808" width="0" style="1" hidden="1" customWidth="1"/>
    <col min="12809" max="12811" width="14" style="1" customWidth="1"/>
    <col min="12812" max="12812" width="28.33203125" style="1" customWidth="1"/>
    <col min="12813" max="12813" width="15.44140625" style="1" bestFit="1" customWidth="1"/>
    <col min="12814" max="12822" width="0" style="1" hidden="1" customWidth="1"/>
    <col min="12823" max="12824" width="9.109375" style="1"/>
    <col min="12825" max="12825" width="18" style="1" customWidth="1"/>
    <col min="12826" max="12826" width="14.88671875" style="1" customWidth="1"/>
    <col min="12827" max="13057" width="9.109375" style="1"/>
    <col min="13058" max="13058" width="32.109375" style="1" customWidth="1"/>
    <col min="13059" max="13059" width="15.88671875" style="1" customWidth="1"/>
    <col min="13060" max="13060" width="9.88671875" style="1" customWidth="1"/>
    <col min="13061" max="13061" width="14.88671875" style="1" customWidth="1"/>
    <col min="13062" max="13062" width="13" style="1" customWidth="1"/>
    <col min="13063" max="13063" width="14.88671875" style="1" customWidth="1"/>
    <col min="13064" max="13064" width="0" style="1" hidden="1" customWidth="1"/>
    <col min="13065" max="13067" width="14" style="1" customWidth="1"/>
    <col min="13068" max="13068" width="28.33203125" style="1" customWidth="1"/>
    <col min="13069" max="13069" width="15.44140625" style="1" bestFit="1" customWidth="1"/>
    <col min="13070" max="13078" width="0" style="1" hidden="1" customWidth="1"/>
    <col min="13079" max="13080" width="9.109375" style="1"/>
    <col min="13081" max="13081" width="18" style="1" customWidth="1"/>
    <col min="13082" max="13082" width="14.88671875" style="1" customWidth="1"/>
    <col min="13083" max="13313" width="9.109375" style="1"/>
    <col min="13314" max="13314" width="32.109375" style="1" customWidth="1"/>
    <col min="13315" max="13315" width="15.88671875" style="1" customWidth="1"/>
    <col min="13316" max="13316" width="9.88671875" style="1" customWidth="1"/>
    <col min="13317" max="13317" width="14.88671875" style="1" customWidth="1"/>
    <col min="13318" max="13318" width="13" style="1" customWidth="1"/>
    <col min="13319" max="13319" width="14.88671875" style="1" customWidth="1"/>
    <col min="13320" max="13320" width="0" style="1" hidden="1" customWidth="1"/>
    <col min="13321" max="13323" width="14" style="1" customWidth="1"/>
    <col min="13324" max="13324" width="28.33203125" style="1" customWidth="1"/>
    <col min="13325" max="13325" width="15.44140625" style="1" bestFit="1" customWidth="1"/>
    <col min="13326" max="13334" width="0" style="1" hidden="1" customWidth="1"/>
    <col min="13335" max="13336" width="9.109375" style="1"/>
    <col min="13337" max="13337" width="18" style="1" customWidth="1"/>
    <col min="13338" max="13338" width="14.88671875" style="1" customWidth="1"/>
    <col min="13339" max="13569" width="9.109375" style="1"/>
    <col min="13570" max="13570" width="32.109375" style="1" customWidth="1"/>
    <col min="13571" max="13571" width="15.88671875" style="1" customWidth="1"/>
    <col min="13572" max="13572" width="9.88671875" style="1" customWidth="1"/>
    <col min="13573" max="13573" width="14.88671875" style="1" customWidth="1"/>
    <col min="13574" max="13574" width="13" style="1" customWidth="1"/>
    <col min="13575" max="13575" width="14.88671875" style="1" customWidth="1"/>
    <col min="13576" max="13576" width="0" style="1" hidden="1" customWidth="1"/>
    <col min="13577" max="13579" width="14" style="1" customWidth="1"/>
    <col min="13580" max="13580" width="28.33203125" style="1" customWidth="1"/>
    <col min="13581" max="13581" width="15.44140625" style="1" bestFit="1" customWidth="1"/>
    <col min="13582" max="13590" width="0" style="1" hidden="1" customWidth="1"/>
    <col min="13591" max="13592" width="9.109375" style="1"/>
    <col min="13593" max="13593" width="18" style="1" customWidth="1"/>
    <col min="13594" max="13594" width="14.88671875" style="1" customWidth="1"/>
    <col min="13595" max="13825" width="9.109375" style="1"/>
    <col min="13826" max="13826" width="32.109375" style="1" customWidth="1"/>
    <col min="13827" max="13827" width="15.88671875" style="1" customWidth="1"/>
    <col min="13828" max="13828" width="9.88671875" style="1" customWidth="1"/>
    <col min="13829" max="13829" width="14.88671875" style="1" customWidth="1"/>
    <col min="13830" max="13830" width="13" style="1" customWidth="1"/>
    <col min="13831" max="13831" width="14.88671875" style="1" customWidth="1"/>
    <col min="13832" max="13832" width="0" style="1" hidden="1" customWidth="1"/>
    <col min="13833" max="13835" width="14" style="1" customWidth="1"/>
    <col min="13836" max="13836" width="28.33203125" style="1" customWidth="1"/>
    <col min="13837" max="13837" width="15.44140625" style="1" bestFit="1" customWidth="1"/>
    <col min="13838" max="13846" width="0" style="1" hidden="1" customWidth="1"/>
    <col min="13847" max="13848" width="9.109375" style="1"/>
    <col min="13849" max="13849" width="18" style="1" customWidth="1"/>
    <col min="13850" max="13850" width="14.88671875" style="1" customWidth="1"/>
    <col min="13851" max="14081" width="9.109375" style="1"/>
    <col min="14082" max="14082" width="32.109375" style="1" customWidth="1"/>
    <col min="14083" max="14083" width="15.88671875" style="1" customWidth="1"/>
    <col min="14084" max="14084" width="9.88671875" style="1" customWidth="1"/>
    <col min="14085" max="14085" width="14.88671875" style="1" customWidth="1"/>
    <col min="14086" max="14086" width="13" style="1" customWidth="1"/>
    <col min="14087" max="14087" width="14.88671875" style="1" customWidth="1"/>
    <col min="14088" max="14088" width="0" style="1" hidden="1" customWidth="1"/>
    <col min="14089" max="14091" width="14" style="1" customWidth="1"/>
    <col min="14092" max="14092" width="28.33203125" style="1" customWidth="1"/>
    <col min="14093" max="14093" width="15.44140625" style="1" bestFit="1" customWidth="1"/>
    <col min="14094" max="14102" width="0" style="1" hidden="1" customWidth="1"/>
    <col min="14103" max="14104" width="9.109375" style="1"/>
    <col min="14105" max="14105" width="18" style="1" customWidth="1"/>
    <col min="14106" max="14106" width="14.88671875" style="1" customWidth="1"/>
    <col min="14107" max="14337" width="9.109375" style="1"/>
    <col min="14338" max="14338" width="32.109375" style="1" customWidth="1"/>
    <col min="14339" max="14339" width="15.88671875" style="1" customWidth="1"/>
    <col min="14340" max="14340" width="9.88671875" style="1" customWidth="1"/>
    <col min="14341" max="14341" width="14.88671875" style="1" customWidth="1"/>
    <col min="14342" max="14342" width="13" style="1" customWidth="1"/>
    <col min="14343" max="14343" width="14.88671875" style="1" customWidth="1"/>
    <col min="14344" max="14344" width="0" style="1" hidden="1" customWidth="1"/>
    <col min="14345" max="14347" width="14" style="1" customWidth="1"/>
    <col min="14348" max="14348" width="28.33203125" style="1" customWidth="1"/>
    <col min="14349" max="14349" width="15.44140625" style="1" bestFit="1" customWidth="1"/>
    <col min="14350" max="14358" width="0" style="1" hidden="1" customWidth="1"/>
    <col min="14359" max="14360" width="9.109375" style="1"/>
    <col min="14361" max="14361" width="18" style="1" customWidth="1"/>
    <col min="14362" max="14362" width="14.88671875" style="1" customWidth="1"/>
    <col min="14363" max="14593" width="9.109375" style="1"/>
    <col min="14594" max="14594" width="32.109375" style="1" customWidth="1"/>
    <col min="14595" max="14595" width="15.88671875" style="1" customWidth="1"/>
    <col min="14596" max="14596" width="9.88671875" style="1" customWidth="1"/>
    <col min="14597" max="14597" width="14.88671875" style="1" customWidth="1"/>
    <col min="14598" max="14598" width="13" style="1" customWidth="1"/>
    <col min="14599" max="14599" width="14.88671875" style="1" customWidth="1"/>
    <col min="14600" max="14600" width="0" style="1" hidden="1" customWidth="1"/>
    <col min="14601" max="14603" width="14" style="1" customWidth="1"/>
    <col min="14604" max="14604" width="28.33203125" style="1" customWidth="1"/>
    <col min="14605" max="14605" width="15.44140625" style="1" bestFit="1" customWidth="1"/>
    <col min="14606" max="14614" width="0" style="1" hidden="1" customWidth="1"/>
    <col min="14615" max="14616" width="9.109375" style="1"/>
    <col min="14617" max="14617" width="18" style="1" customWidth="1"/>
    <col min="14618" max="14618" width="14.88671875" style="1" customWidth="1"/>
    <col min="14619" max="14849" width="9.109375" style="1"/>
    <col min="14850" max="14850" width="32.109375" style="1" customWidth="1"/>
    <col min="14851" max="14851" width="15.88671875" style="1" customWidth="1"/>
    <col min="14852" max="14852" width="9.88671875" style="1" customWidth="1"/>
    <col min="14853" max="14853" width="14.88671875" style="1" customWidth="1"/>
    <col min="14854" max="14854" width="13" style="1" customWidth="1"/>
    <col min="14855" max="14855" width="14.88671875" style="1" customWidth="1"/>
    <col min="14856" max="14856" width="0" style="1" hidden="1" customWidth="1"/>
    <col min="14857" max="14859" width="14" style="1" customWidth="1"/>
    <col min="14860" max="14860" width="28.33203125" style="1" customWidth="1"/>
    <col min="14861" max="14861" width="15.44140625" style="1" bestFit="1" customWidth="1"/>
    <col min="14862" max="14870" width="0" style="1" hidden="1" customWidth="1"/>
    <col min="14871" max="14872" width="9.109375" style="1"/>
    <col min="14873" max="14873" width="18" style="1" customWidth="1"/>
    <col min="14874" max="14874" width="14.88671875" style="1" customWidth="1"/>
    <col min="14875" max="15105" width="9.109375" style="1"/>
    <col min="15106" max="15106" width="32.109375" style="1" customWidth="1"/>
    <col min="15107" max="15107" width="15.88671875" style="1" customWidth="1"/>
    <col min="15108" max="15108" width="9.88671875" style="1" customWidth="1"/>
    <col min="15109" max="15109" width="14.88671875" style="1" customWidth="1"/>
    <col min="15110" max="15110" width="13" style="1" customWidth="1"/>
    <col min="15111" max="15111" width="14.88671875" style="1" customWidth="1"/>
    <col min="15112" max="15112" width="0" style="1" hidden="1" customWidth="1"/>
    <col min="15113" max="15115" width="14" style="1" customWidth="1"/>
    <col min="15116" max="15116" width="28.33203125" style="1" customWidth="1"/>
    <col min="15117" max="15117" width="15.44140625" style="1" bestFit="1" customWidth="1"/>
    <col min="15118" max="15126" width="0" style="1" hidden="1" customWidth="1"/>
    <col min="15127" max="15128" width="9.109375" style="1"/>
    <col min="15129" max="15129" width="18" style="1" customWidth="1"/>
    <col min="15130" max="15130" width="14.88671875" style="1" customWidth="1"/>
    <col min="15131" max="15361" width="9.109375" style="1"/>
    <col min="15362" max="15362" width="32.109375" style="1" customWidth="1"/>
    <col min="15363" max="15363" width="15.88671875" style="1" customWidth="1"/>
    <col min="15364" max="15364" width="9.88671875" style="1" customWidth="1"/>
    <col min="15365" max="15365" width="14.88671875" style="1" customWidth="1"/>
    <col min="15366" max="15366" width="13" style="1" customWidth="1"/>
    <col min="15367" max="15367" width="14.88671875" style="1" customWidth="1"/>
    <col min="15368" max="15368" width="0" style="1" hidden="1" customWidth="1"/>
    <col min="15369" max="15371" width="14" style="1" customWidth="1"/>
    <col min="15372" max="15372" width="28.33203125" style="1" customWidth="1"/>
    <col min="15373" max="15373" width="15.44140625" style="1" bestFit="1" customWidth="1"/>
    <col min="15374" max="15382" width="0" style="1" hidden="1" customWidth="1"/>
    <col min="15383" max="15384" width="9.109375" style="1"/>
    <col min="15385" max="15385" width="18" style="1" customWidth="1"/>
    <col min="15386" max="15386" width="14.88671875" style="1" customWidth="1"/>
    <col min="15387" max="15617" width="9.109375" style="1"/>
    <col min="15618" max="15618" width="32.109375" style="1" customWidth="1"/>
    <col min="15619" max="15619" width="15.88671875" style="1" customWidth="1"/>
    <col min="15620" max="15620" width="9.88671875" style="1" customWidth="1"/>
    <col min="15621" max="15621" width="14.88671875" style="1" customWidth="1"/>
    <col min="15622" max="15622" width="13" style="1" customWidth="1"/>
    <col min="15623" max="15623" width="14.88671875" style="1" customWidth="1"/>
    <col min="15624" max="15624" width="0" style="1" hidden="1" customWidth="1"/>
    <col min="15625" max="15627" width="14" style="1" customWidth="1"/>
    <col min="15628" max="15628" width="28.33203125" style="1" customWidth="1"/>
    <col min="15629" max="15629" width="15.44140625" style="1" bestFit="1" customWidth="1"/>
    <col min="15630" max="15638" width="0" style="1" hidden="1" customWidth="1"/>
    <col min="15639" max="15640" width="9.109375" style="1"/>
    <col min="15641" max="15641" width="18" style="1" customWidth="1"/>
    <col min="15642" max="15642" width="14.88671875" style="1" customWidth="1"/>
    <col min="15643" max="15873" width="9.109375" style="1"/>
    <col min="15874" max="15874" width="32.109375" style="1" customWidth="1"/>
    <col min="15875" max="15875" width="15.88671875" style="1" customWidth="1"/>
    <col min="15876" max="15876" width="9.88671875" style="1" customWidth="1"/>
    <col min="15877" max="15877" width="14.88671875" style="1" customWidth="1"/>
    <col min="15878" max="15878" width="13" style="1" customWidth="1"/>
    <col min="15879" max="15879" width="14.88671875" style="1" customWidth="1"/>
    <col min="15880" max="15880" width="0" style="1" hidden="1" customWidth="1"/>
    <col min="15881" max="15883" width="14" style="1" customWidth="1"/>
    <col min="15884" max="15884" width="28.33203125" style="1" customWidth="1"/>
    <col min="15885" max="15885" width="15.44140625" style="1" bestFit="1" customWidth="1"/>
    <col min="15886" max="15894" width="0" style="1" hidden="1" customWidth="1"/>
    <col min="15895" max="15896" width="9.109375" style="1"/>
    <col min="15897" max="15897" width="18" style="1" customWidth="1"/>
    <col min="15898" max="15898" width="14.88671875" style="1" customWidth="1"/>
    <col min="15899" max="16129" width="9.109375" style="1"/>
    <col min="16130" max="16130" width="32.109375" style="1" customWidth="1"/>
    <col min="16131" max="16131" width="15.88671875" style="1" customWidth="1"/>
    <col min="16132" max="16132" width="9.88671875" style="1" customWidth="1"/>
    <col min="16133" max="16133" width="14.88671875" style="1" customWidth="1"/>
    <col min="16134" max="16134" width="13" style="1" customWidth="1"/>
    <col min="16135" max="16135" width="14.88671875" style="1" customWidth="1"/>
    <col min="16136" max="16136" width="0" style="1" hidden="1" customWidth="1"/>
    <col min="16137" max="16139" width="14" style="1" customWidth="1"/>
    <col min="16140" max="16140" width="28.33203125" style="1" customWidth="1"/>
    <col min="16141" max="16141" width="15.44140625" style="1" bestFit="1" customWidth="1"/>
    <col min="16142" max="16150" width="0" style="1" hidden="1" customWidth="1"/>
    <col min="16151" max="16152" width="9.109375" style="1"/>
    <col min="16153" max="16153" width="18" style="1" customWidth="1"/>
    <col min="16154" max="16154" width="14.88671875" style="1" customWidth="1"/>
    <col min="16155" max="16383" width="9.109375" style="1"/>
    <col min="16384" max="16384" width="9.109375" style="1" customWidth="1"/>
  </cols>
  <sheetData>
    <row r="1" spans="1:27" ht="22.5" customHeight="1" x14ac:dyDescent="0.25">
      <c r="A1" s="48" t="s">
        <v>0</v>
      </c>
      <c r="B1" s="48"/>
      <c r="C1" s="48"/>
      <c r="D1" s="48"/>
      <c r="E1" s="53" t="s">
        <v>0</v>
      </c>
      <c r="F1" s="53"/>
      <c r="G1" s="39"/>
      <c r="H1" s="10"/>
      <c r="I1" s="48"/>
      <c r="J1" s="15"/>
      <c r="K1" s="15" t="s">
        <v>0</v>
      </c>
      <c r="L1" s="15"/>
    </row>
    <row r="2" spans="1:27" ht="60.75" customHeight="1" x14ac:dyDescent="0.25">
      <c r="A2" s="48" t="s">
        <v>1</v>
      </c>
      <c r="B2" s="48"/>
      <c r="C2" s="48"/>
      <c r="D2" s="48"/>
      <c r="E2" s="53" t="s">
        <v>2</v>
      </c>
      <c r="F2" s="53"/>
      <c r="G2" s="39"/>
      <c r="H2" s="10"/>
      <c r="I2" s="48"/>
      <c r="J2" s="15"/>
      <c r="K2" s="15" t="s">
        <v>2</v>
      </c>
      <c r="L2" s="15"/>
    </row>
    <row r="3" spans="1:27" ht="15.6" x14ac:dyDescent="0.3">
      <c r="A3" s="61"/>
      <c r="B3" s="2" t="s">
        <v>3</v>
      </c>
      <c r="C3" s="2"/>
      <c r="D3" s="2"/>
      <c r="E3" s="60"/>
      <c r="F3" s="60"/>
      <c r="G3" s="40"/>
      <c r="H3" s="11" t="s">
        <v>4</v>
      </c>
      <c r="I3" s="2"/>
      <c r="J3" s="2"/>
      <c r="K3" s="60"/>
      <c r="L3" s="2" t="s">
        <v>5</v>
      </c>
    </row>
    <row r="4" spans="1:27" ht="74.400000000000006" customHeight="1" x14ac:dyDescent="0.25">
      <c r="A4" s="54" t="s">
        <v>111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6" spans="1:27" ht="85.8" customHeight="1" x14ac:dyDescent="0.25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1" t="s">
        <v>12</v>
      </c>
      <c r="H6" s="9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Q6" s="1" t="s">
        <v>9</v>
      </c>
      <c r="R6" s="1" t="s">
        <v>10</v>
      </c>
      <c r="S6" s="1" t="s">
        <v>17</v>
      </c>
      <c r="W6" s="55" t="s">
        <v>120</v>
      </c>
      <c r="X6" s="55" t="s">
        <v>114</v>
      </c>
      <c r="Y6" s="55" t="s">
        <v>113</v>
      </c>
      <c r="Z6" s="55" t="s">
        <v>112</v>
      </c>
    </row>
    <row r="7" spans="1:27" ht="49.5" customHeight="1" x14ac:dyDescent="0.25">
      <c r="A7" s="4" t="s">
        <v>18</v>
      </c>
      <c r="B7" s="4" t="s">
        <v>19</v>
      </c>
      <c r="C7" s="49" t="s">
        <v>20</v>
      </c>
      <c r="D7" s="32">
        <v>122600</v>
      </c>
      <c r="E7" s="32">
        <f>D7</f>
        <v>122600</v>
      </c>
      <c r="F7" s="31"/>
      <c r="G7" s="46">
        <f>E7*96.89</f>
        <v>11878714</v>
      </c>
      <c r="H7" s="35">
        <f t="shared" ref="H7:H13" si="0">G7/12*3/1000</f>
        <v>2969.6785</v>
      </c>
      <c r="I7" s="32">
        <f>H7-W7/1000</f>
        <v>2884.8939599999999</v>
      </c>
      <c r="J7" s="32">
        <f>W7/1000</f>
        <v>84.784540000000007</v>
      </c>
      <c r="K7" s="16" t="s">
        <v>115</v>
      </c>
      <c r="L7" s="16" t="s">
        <v>21</v>
      </c>
      <c r="M7" s="1">
        <v>0.46073213387015632</v>
      </c>
      <c r="N7" s="1">
        <v>0.4892249230651482</v>
      </c>
      <c r="Q7" s="1" t="s">
        <v>22</v>
      </c>
      <c r="S7" s="1" t="s">
        <v>23</v>
      </c>
      <c r="T7" s="1">
        <v>38885790.100000001</v>
      </c>
      <c r="U7" s="1">
        <v>19023897.670000002</v>
      </c>
      <c r="W7" s="24">
        <f>Z7+Y7+X7</f>
        <v>84784.540000000008</v>
      </c>
      <c r="X7" s="24">
        <v>40979.129999999997</v>
      </c>
      <c r="Y7" s="24">
        <v>15557.05</v>
      </c>
      <c r="Z7" s="24">
        <v>28248.36</v>
      </c>
    </row>
    <row r="8" spans="1:27" ht="60" x14ac:dyDescent="0.25">
      <c r="A8" s="4" t="s">
        <v>24</v>
      </c>
      <c r="B8" s="4" t="s">
        <v>25</v>
      </c>
      <c r="C8" s="49" t="s">
        <v>20</v>
      </c>
      <c r="D8" s="32">
        <v>38253</v>
      </c>
      <c r="E8" s="32">
        <f>D8</f>
        <v>38253</v>
      </c>
      <c r="F8" s="31"/>
      <c r="G8" s="46">
        <f>E8*89.07</f>
        <v>3407194.71</v>
      </c>
      <c r="H8" s="35">
        <f t="shared" si="0"/>
        <v>851.79867749999994</v>
      </c>
      <c r="I8" s="32">
        <f>H8-W8/1000</f>
        <v>747.11373749999996</v>
      </c>
      <c r="J8" s="32">
        <f>W8/1000</f>
        <v>104.68494</v>
      </c>
      <c r="K8" s="16" t="s">
        <v>115</v>
      </c>
      <c r="L8" s="16" t="s">
        <v>21</v>
      </c>
      <c r="M8" s="1">
        <v>0.46073213387015632</v>
      </c>
      <c r="N8" s="1">
        <v>0.4892249230651482</v>
      </c>
      <c r="Q8" s="1" t="s">
        <v>26</v>
      </c>
      <c r="W8" s="24">
        <f>Z8+Y8+X8</f>
        <v>104684.94</v>
      </c>
      <c r="X8" s="24">
        <v>28200.07</v>
      </c>
      <c r="Y8" s="24">
        <v>29946.33</v>
      </c>
      <c r="Z8" s="24">
        <v>46538.54</v>
      </c>
    </row>
    <row r="9" spans="1:27" ht="60" x14ac:dyDescent="0.25">
      <c r="A9" s="4" t="s">
        <v>27</v>
      </c>
      <c r="B9" s="4" t="s">
        <v>28</v>
      </c>
      <c r="C9" s="49" t="s">
        <v>20</v>
      </c>
      <c r="D9" s="32">
        <v>11983.4</v>
      </c>
      <c r="E9" s="32">
        <f t="shared" ref="E9:E43" si="1">D9</f>
        <v>11983.4</v>
      </c>
      <c r="F9" s="31"/>
      <c r="G9" s="46">
        <f>E9*240.72</f>
        <v>2884644.048</v>
      </c>
      <c r="H9" s="35">
        <f t="shared" si="0"/>
        <v>721.16101200000003</v>
      </c>
      <c r="I9" s="32">
        <f t="shared" ref="I9:I41" si="2">H9</f>
        <v>721.16101200000003</v>
      </c>
      <c r="J9" s="32">
        <f t="shared" ref="J9:J29" si="3">H9-I9</f>
        <v>0</v>
      </c>
      <c r="K9" s="16"/>
      <c r="L9" s="16" t="s">
        <v>21</v>
      </c>
      <c r="M9" s="1">
        <v>0.46073213387015632</v>
      </c>
      <c r="N9" s="1">
        <v>0.4892249230651482</v>
      </c>
      <c r="W9" s="24"/>
      <c r="X9" s="24"/>
      <c r="Y9" s="24"/>
      <c r="Z9" s="24"/>
    </row>
    <row r="10" spans="1:27" ht="60" x14ac:dyDescent="0.25">
      <c r="A10" s="4" t="s">
        <v>29</v>
      </c>
      <c r="B10" s="4" t="s">
        <v>30</v>
      </c>
      <c r="C10" s="49" t="s">
        <v>20</v>
      </c>
      <c r="D10" s="32">
        <v>1141</v>
      </c>
      <c r="E10" s="32">
        <f t="shared" si="1"/>
        <v>1141</v>
      </c>
      <c r="F10" s="31"/>
      <c r="G10" s="46">
        <f>E10*707.84</f>
        <v>807645.44000000006</v>
      </c>
      <c r="H10" s="35">
        <f t="shared" si="0"/>
        <v>201.91135999999997</v>
      </c>
      <c r="I10" s="32">
        <f t="shared" si="2"/>
        <v>201.91135999999997</v>
      </c>
      <c r="J10" s="32">
        <f t="shared" si="3"/>
        <v>0</v>
      </c>
      <c r="K10" s="16"/>
      <c r="L10" s="16" t="s">
        <v>21</v>
      </c>
      <c r="M10" s="1">
        <v>0.46073213387015632</v>
      </c>
      <c r="N10" s="1">
        <v>0.4892249230651482</v>
      </c>
      <c r="W10" s="24"/>
      <c r="X10" s="24"/>
      <c r="Y10" s="24"/>
      <c r="Z10" s="24"/>
    </row>
    <row r="11" spans="1:27" ht="60" customHeight="1" x14ac:dyDescent="0.25">
      <c r="A11" s="4" t="s">
        <v>31</v>
      </c>
      <c r="B11" s="4" t="s">
        <v>32</v>
      </c>
      <c r="C11" s="49" t="s">
        <v>20</v>
      </c>
      <c r="D11" s="32">
        <v>11032</v>
      </c>
      <c r="E11" s="32">
        <f t="shared" si="1"/>
        <v>11032</v>
      </c>
      <c r="F11" s="31"/>
      <c r="G11" s="46">
        <f>E11*97.61</f>
        <v>1076833.52</v>
      </c>
      <c r="H11" s="35">
        <f t="shared" si="0"/>
        <v>269.20837999999998</v>
      </c>
      <c r="I11" s="32">
        <f>H11-J11</f>
        <v>241.85488999999998</v>
      </c>
      <c r="J11" s="32">
        <f>W11/1000</f>
        <v>27.353490000000001</v>
      </c>
      <c r="K11" s="16" t="s">
        <v>116</v>
      </c>
      <c r="L11" s="16" t="s">
        <v>21</v>
      </c>
      <c r="M11" s="1">
        <v>0.46073213387015632</v>
      </c>
      <c r="N11" s="1">
        <v>0.4892249230651482</v>
      </c>
      <c r="P11" s="1" t="s">
        <v>33</v>
      </c>
      <c r="Q11" s="1" t="s">
        <v>33</v>
      </c>
      <c r="W11" s="24">
        <f>Z11+Y11+X11</f>
        <v>27353.49</v>
      </c>
      <c r="X11" s="24">
        <v>8010.52</v>
      </c>
      <c r="Y11" s="24">
        <v>8246.57</v>
      </c>
      <c r="Z11" s="25">
        <v>11096.4</v>
      </c>
      <c r="AA11" s="26"/>
    </row>
    <row r="12" spans="1:27" ht="60" x14ac:dyDescent="0.25">
      <c r="A12" s="4" t="s">
        <v>34</v>
      </c>
      <c r="B12" s="4" t="s">
        <v>35</v>
      </c>
      <c r="C12" s="49" t="s">
        <v>20</v>
      </c>
      <c r="D12" s="32">
        <v>7547.2</v>
      </c>
      <c r="E12" s="32">
        <f t="shared" si="1"/>
        <v>7547.2</v>
      </c>
      <c r="F12" s="31"/>
      <c r="G12" s="46">
        <f>E12*556.48</f>
        <v>4199865.8559999997</v>
      </c>
      <c r="H12" s="35">
        <f t="shared" si="0"/>
        <v>1049.9664639999999</v>
      </c>
      <c r="I12" s="32">
        <f t="shared" si="2"/>
        <v>1049.9664639999999</v>
      </c>
      <c r="J12" s="32">
        <f t="shared" si="3"/>
        <v>0</v>
      </c>
      <c r="K12" s="16"/>
      <c r="L12" s="16" t="s">
        <v>21</v>
      </c>
      <c r="M12" s="1">
        <v>0.46073213387015632</v>
      </c>
      <c r="N12" s="1">
        <v>0.4892249230651482</v>
      </c>
      <c r="W12" s="24"/>
      <c r="X12" s="24"/>
      <c r="Y12" s="24"/>
      <c r="Z12" s="24"/>
    </row>
    <row r="13" spans="1:27" ht="36" x14ac:dyDescent="0.25">
      <c r="A13" s="4" t="s">
        <v>36</v>
      </c>
      <c r="B13" s="4" t="s">
        <v>37</v>
      </c>
      <c r="C13" s="49" t="s">
        <v>38</v>
      </c>
      <c r="D13" s="32">
        <v>1444.1</v>
      </c>
      <c r="E13" s="32">
        <f t="shared" si="1"/>
        <v>1444.1</v>
      </c>
      <c r="F13" s="31"/>
      <c r="G13" s="46">
        <f>D13*437.69</f>
        <v>632068.12899999996</v>
      </c>
      <c r="H13" s="35">
        <f t="shared" si="0"/>
        <v>158.01703225</v>
      </c>
      <c r="I13" s="32">
        <f t="shared" si="2"/>
        <v>158.01703225</v>
      </c>
      <c r="J13" s="32">
        <f t="shared" si="3"/>
        <v>0</v>
      </c>
      <c r="K13" s="16"/>
      <c r="L13" s="16" t="s">
        <v>21</v>
      </c>
      <c r="M13" s="1">
        <v>0.46073213387015632</v>
      </c>
      <c r="N13" s="1">
        <v>0.4892249230651482</v>
      </c>
      <c r="W13" s="24"/>
      <c r="X13" s="24"/>
      <c r="Y13" s="24"/>
      <c r="Z13" s="24"/>
    </row>
    <row r="14" spans="1:27" ht="36" x14ac:dyDescent="0.25">
      <c r="A14" s="4" t="s">
        <v>39</v>
      </c>
      <c r="B14" s="4" t="s">
        <v>40</v>
      </c>
      <c r="C14" s="49" t="s">
        <v>41</v>
      </c>
      <c r="D14" s="32">
        <v>195345.78</v>
      </c>
      <c r="E14" s="32">
        <v>373478.78</v>
      </c>
      <c r="F14" s="31"/>
      <c r="G14" s="46">
        <f>D14*61.24</f>
        <v>11962975.567199999</v>
      </c>
      <c r="H14" s="35">
        <f>D14*61.24/1000/5*3</f>
        <v>7177.7853403199988</v>
      </c>
      <c r="I14" s="32">
        <v>10331438.93</v>
      </c>
      <c r="J14" s="32">
        <f t="shared" si="3"/>
        <v>-10324261.144659679</v>
      </c>
      <c r="K14" s="51" t="s">
        <v>118</v>
      </c>
      <c r="L14" s="16" t="s">
        <v>21</v>
      </c>
      <c r="W14" s="24"/>
      <c r="X14" s="24"/>
      <c r="Y14" s="24"/>
      <c r="Z14" s="24"/>
    </row>
    <row r="15" spans="1:27" ht="36" x14ac:dyDescent="0.25">
      <c r="A15" s="4" t="s">
        <v>42</v>
      </c>
      <c r="B15" s="4" t="s">
        <v>40</v>
      </c>
      <c r="C15" s="49" t="s">
        <v>41</v>
      </c>
      <c r="D15" s="32">
        <v>70956.39</v>
      </c>
      <c r="E15" s="32">
        <v>135633.32</v>
      </c>
      <c r="F15" s="31"/>
      <c r="G15" s="46">
        <f>D15*70.04</f>
        <v>4969785.5556000005</v>
      </c>
      <c r="H15" s="35">
        <f>D15*70.04/1000/5*3</f>
        <v>2981.8713333599999</v>
      </c>
      <c r="I15" s="32">
        <v>4291992.5999999996</v>
      </c>
      <c r="J15" s="32">
        <f t="shared" si="3"/>
        <v>-4289010.7286666399</v>
      </c>
      <c r="K15" s="57" t="s">
        <v>118</v>
      </c>
      <c r="L15" s="16" t="s">
        <v>21</v>
      </c>
      <c r="V15" s="18"/>
      <c r="W15" s="24"/>
      <c r="X15" s="24"/>
      <c r="Y15" s="24"/>
      <c r="Z15" s="24"/>
    </row>
    <row r="16" spans="1:27" ht="36" x14ac:dyDescent="0.25">
      <c r="A16" s="4" t="s">
        <v>43</v>
      </c>
      <c r="B16" s="4" t="s">
        <v>44</v>
      </c>
      <c r="C16" s="49" t="s">
        <v>41</v>
      </c>
      <c r="D16" s="32">
        <v>31112.35</v>
      </c>
      <c r="E16" s="32">
        <f t="shared" ref="E16:E17" si="4">D16</f>
        <v>31112.35</v>
      </c>
      <c r="F16" s="31"/>
      <c r="G16" s="46">
        <f>D16*11.45</f>
        <v>356236.40749999997</v>
      </c>
      <c r="H16" s="35">
        <f>D16*11.45/1000/5*3</f>
        <v>213.74184450000001</v>
      </c>
      <c r="I16" s="32">
        <f t="shared" si="2"/>
        <v>213.74184450000001</v>
      </c>
      <c r="J16" s="32">
        <f t="shared" si="3"/>
        <v>0</v>
      </c>
      <c r="K16" s="58"/>
      <c r="L16" s="16" t="s">
        <v>21</v>
      </c>
      <c r="W16" s="24"/>
      <c r="X16" s="24"/>
      <c r="Y16" s="24"/>
      <c r="Z16" s="24"/>
    </row>
    <row r="17" spans="1:28" ht="36" x14ac:dyDescent="0.25">
      <c r="A17" s="4" t="s">
        <v>45</v>
      </c>
      <c r="B17" s="4" t="s">
        <v>44</v>
      </c>
      <c r="C17" s="49" t="s">
        <v>41</v>
      </c>
      <c r="D17" s="32">
        <v>3226.59</v>
      </c>
      <c r="E17" s="32">
        <f t="shared" si="4"/>
        <v>3226.59</v>
      </c>
      <c r="F17" s="31"/>
      <c r="G17" s="46">
        <f>D17*1.09</f>
        <v>3516.9831000000004</v>
      </c>
      <c r="H17" s="35">
        <f>D17*1.09/1000/5*3</f>
        <v>2.1101898600000002</v>
      </c>
      <c r="I17" s="32">
        <f t="shared" si="2"/>
        <v>2.1101898600000002</v>
      </c>
      <c r="J17" s="32">
        <f t="shared" si="3"/>
        <v>0</v>
      </c>
      <c r="K17" s="59"/>
      <c r="L17" s="16" t="s">
        <v>21</v>
      </c>
      <c r="V17" s="18"/>
      <c r="W17" s="24"/>
      <c r="X17" s="24"/>
      <c r="Y17" s="24"/>
      <c r="Z17" s="24"/>
    </row>
    <row r="18" spans="1:28" ht="24" x14ac:dyDescent="0.25">
      <c r="A18" s="4" t="s">
        <v>46</v>
      </c>
      <c r="B18" s="4" t="s">
        <v>47</v>
      </c>
      <c r="C18" s="49" t="s">
        <v>48</v>
      </c>
      <c r="D18" s="32">
        <v>713</v>
      </c>
      <c r="E18" s="32">
        <f t="shared" si="1"/>
        <v>713</v>
      </c>
      <c r="F18" s="37"/>
      <c r="G18" s="46">
        <f>E18*2522.94</f>
        <v>1798856.22</v>
      </c>
      <c r="H18" s="35">
        <f>G18/12*3/1000</f>
        <v>449.71405499999997</v>
      </c>
      <c r="I18" s="32">
        <f t="shared" si="2"/>
        <v>449.71405499999997</v>
      </c>
      <c r="J18" s="32">
        <f>H18-I18</f>
        <v>0</v>
      </c>
      <c r="K18" s="16"/>
      <c r="L18" s="16" t="s">
        <v>21</v>
      </c>
      <c r="M18" s="1">
        <v>0.46073213387015632</v>
      </c>
      <c r="N18" s="1">
        <v>0.4892249230651482</v>
      </c>
      <c r="W18" s="24"/>
      <c r="X18" s="24"/>
      <c r="Y18" s="24"/>
      <c r="Z18" s="24"/>
    </row>
    <row r="19" spans="1:28" ht="72" x14ac:dyDescent="0.25">
      <c r="A19" s="4" t="s">
        <v>49</v>
      </c>
      <c r="B19" s="4" t="s">
        <v>50</v>
      </c>
      <c r="C19" s="49" t="s">
        <v>20</v>
      </c>
      <c r="D19" s="32">
        <v>36730.6</v>
      </c>
      <c r="E19" s="32">
        <f t="shared" si="1"/>
        <v>36730.6</v>
      </c>
      <c r="F19" s="31"/>
      <c r="G19" s="46">
        <f>E19*190.03</f>
        <v>6979915.9179999996</v>
      </c>
      <c r="H19" s="35">
        <f>G19/12*3/1000</f>
        <v>1744.9789794999999</v>
      </c>
      <c r="I19" s="32">
        <f>H19-124.02</f>
        <v>1620.9589794999999</v>
      </c>
      <c r="J19" s="32">
        <f>W19/1000</f>
        <v>181.2475</v>
      </c>
      <c r="K19" s="16" t="s">
        <v>115</v>
      </c>
      <c r="L19" s="16" t="s">
        <v>21</v>
      </c>
      <c r="M19" s="1">
        <v>0.46073213387015632</v>
      </c>
      <c r="N19" s="1">
        <v>0.4892249230651482</v>
      </c>
      <c r="P19" s="1" t="s">
        <v>51</v>
      </c>
      <c r="Q19" s="1" t="s">
        <v>52</v>
      </c>
      <c r="W19" s="24">
        <f>Z19+Y19+X19</f>
        <v>181247.5</v>
      </c>
      <c r="X19" s="24">
        <v>57228.18</v>
      </c>
      <c r="Y19" s="24">
        <v>62009.66</v>
      </c>
      <c r="Z19" s="24">
        <v>62009.66</v>
      </c>
    </row>
    <row r="20" spans="1:28" ht="107.25" customHeight="1" x14ac:dyDescent="0.25">
      <c r="A20" s="4" t="s">
        <v>53</v>
      </c>
      <c r="B20" s="4" t="s">
        <v>54</v>
      </c>
      <c r="C20" s="49" t="s">
        <v>20</v>
      </c>
      <c r="D20" s="32">
        <v>7074</v>
      </c>
      <c r="E20" s="32">
        <f t="shared" si="1"/>
        <v>7074</v>
      </c>
      <c r="F20" s="31"/>
      <c r="G20" s="46">
        <f>E20*255.04</f>
        <v>1804152.96</v>
      </c>
      <c r="H20" s="35">
        <f>G20/12*3/1000</f>
        <v>451.03823999999997</v>
      </c>
      <c r="I20" s="32">
        <f>H20-J20</f>
        <v>438.15508</v>
      </c>
      <c r="J20" s="32">
        <f>W20/1000</f>
        <v>12.88316</v>
      </c>
      <c r="K20" s="16" t="s">
        <v>116</v>
      </c>
      <c r="L20" s="16" t="s">
        <v>21</v>
      </c>
      <c r="M20" s="1">
        <v>0.46073213387015632</v>
      </c>
      <c r="N20" s="1">
        <v>0.4892249230651482</v>
      </c>
      <c r="W20" s="24">
        <f>Z20+Y20+X20</f>
        <v>12883.16</v>
      </c>
      <c r="X20" s="24">
        <v>5915.06</v>
      </c>
      <c r="Y20" s="24">
        <v>2689.76</v>
      </c>
      <c r="Z20" s="24">
        <v>4278.34</v>
      </c>
    </row>
    <row r="21" spans="1:28" ht="100.5" customHeight="1" x14ac:dyDescent="0.25">
      <c r="A21" s="4" t="s">
        <v>55</v>
      </c>
      <c r="B21" s="4" t="s">
        <v>56</v>
      </c>
      <c r="C21" s="49" t="s">
        <v>20</v>
      </c>
      <c r="D21" s="32">
        <v>8099.4</v>
      </c>
      <c r="E21" s="32">
        <f t="shared" si="1"/>
        <v>8099.4</v>
      </c>
      <c r="F21" s="31"/>
      <c r="G21" s="46">
        <f>E21*625.19</f>
        <v>5063663.8859999999</v>
      </c>
      <c r="H21" s="35">
        <f>G21/12*3/1000</f>
        <v>1265.9159715000001</v>
      </c>
      <c r="I21" s="32">
        <f t="shared" si="2"/>
        <v>1265.9159715000001</v>
      </c>
      <c r="J21" s="32">
        <f>H21-I21</f>
        <v>0</v>
      </c>
      <c r="K21" s="16"/>
      <c r="L21" s="16" t="s">
        <v>21</v>
      </c>
      <c r="M21" s="1">
        <v>0.46073213387015632</v>
      </c>
      <c r="N21" s="1">
        <v>0.4892249230651482</v>
      </c>
      <c r="W21" s="24"/>
      <c r="X21" s="24"/>
      <c r="Y21" s="24"/>
      <c r="Z21" s="24"/>
    </row>
    <row r="22" spans="1:28" ht="42.75" customHeight="1" x14ac:dyDescent="0.25">
      <c r="A22" s="4" t="s">
        <v>57</v>
      </c>
      <c r="B22" s="4" t="s">
        <v>40</v>
      </c>
      <c r="C22" s="49" t="s">
        <v>41</v>
      </c>
      <c r="D22" s="32">
        <v>61669.81</v>
      </c>
      <c r="E22" s="32">
        <v>117917.07</v>
      </c>
      <c r="F22" s="31"/>
      <c r="G22" s="46">
        <f>D22*70.04</f>
        <v>4319353.4923999999</v>
      </c>
      <c r="H22" s="35">
        <f>D22*70.04/1000/5*3</f>
        <v>2591.6120954399994</v>
      </c>
      <c r="I22" s="32">
        <v>3730268.24</v>
      </c>
      <c r="J22" s="32">
        <f t="shared" si="3"/>
        <v>-3727676.6279045604</v>
      </c>
      <c r="K22" s="16" t="s">
        <v>118</v>
      </c>
      <c r="L22" s="16" t="s">
        <v>21</v>
      </c>
      <c r="V22" s="18"/>
      <c r="W22" s="24"/>
      <c r="X22" s="24"/>
      <c r="Y22" s="24"/>
      <c r="Z22" s="24"/>
    </row>
    <row r="23" spans="1:28" ht="48" x14ac:dyDescent="0.25">
      <c r="A23" s="4" t="s">
        <v>93</v>
      </c>
      <c r="B23" s="4" t="s">
        <v>58</v>
      </c>
      <c r="C23" s="49" t="s">
        <v>20</v>
      </c>
      <c r="D23" s="32">
        <v>42643.1</v>
      </c>
      <c r="E23" s="32">
        <f t="shared" si="1"/>
        <v>42643.1</v>
      </c>
      <c r="F23" s="31"/>
      <c r="G23" s="46">
        <f>E23*101.36</f>
        <v>4322304.6159999995</v>
      </c>
      <c r="H23" s="35">
        <f t="shared" ref="H23:H28" si="5">G23/12*3/1000</f>
        <v>1080.5761539999999</v>
      </c>
      <c r="I23" s="32">
        <f>H23-J23</f>
        <v>1058.1069439999999</v>
      </c>
      <c r="J23" s="32">
        <f>W23/1000</f>
        <v>22.46921</v>
      </c>
      <c r="K23" s="16" t="s">
        <v>116</v>
      </c>
      <c r="L23" s="16" t="s">
        <v>21</v>
      </c>
      <c r="W23" s="24">
        <f>Z23+Y23+X23</f>
        <v>22469.21</v>
      </c>
      <c r="X23" s="24">
        <v>12210.75</v>
      </c>
      <c r="Y23" s="24">
        <v>5129.2299999999996</v>
      </c>
      <c r="Z23" s="24">
        <v>5129.2299999999996</v>
      </c>
    </row>
    <row r="24" spans="1:28" ht="48" x14ac:dyDescent="0.25">
      <c r="A24" s="4" t="s">
        <v>59</v>
      </c>
      <c r="B24" s="4" t="s">
        <v>60</v>
      </c>
      <c r="C24" s="49" t="s">
        <v>20</v>
      </c>
      <c r="D24" s="32">
        <v>28769</v>
      </c>
      <c r="E24" s="32">
        <f t="shared" si="1"/>
        <v>28769</v>
      </c>
      <c r="F24" s="31"/>
      <c r="G24" s="46">
        <f>E24*956.27*0.61829</f>
        <v>17009733.9175127</v>
      </c>
      <c r="H24" s="35">
        <f t="shared" si="5"/>
        <v>4252.4334793781754</v>
      </c>
      <c r="I24" s="32">
        <f t="shared" si="2"/>
        <v>4252.4334793781754</v>
      </c>
      <c r="J24" s="32">
        <f t="shared" si="3"/>
        <v>0</v>
      </c>
      <c r="K24" s="16"/>
      <c r="L24" s="16" t="s">
        <v>21</v>
      </c>
      <c r="M24" s="1">
        <v>0.46073213387015632</v>
      </c>
      <c r="N24" s="1">
        <v>0.4892249230651482</v>
      </c>
      <c r="P24" s="1" t="s">
        <v>61</v>
      </c>
      <c r="Q24" s="1" t="s">
        <v>61</v>
      </c>
      <c r="W24" s="24"/>
      <c r="X24" s="24"/>
      <c r="Y24" s="24"/>
      <c r="Z24" s="24"/>
    </row>
    <row r="25" spans="1:28" ht="60" x14ac:dyDescent="0.25">
      <c r="A25" s="4" t="s">
        <v>97</v>
      </c>
      <c r="B25" s="4" t="s">
        <v>62</v>
      </c>
      <c r="C25" s="49" t="s">
        <v>20</v>
      </c>
      <c r="D25" s="32">
        <v>6305</v>
      </c>
      <c r="E25" s="32">
        <f t="shared" si="1"/>
        <v>6305</v>
      </c>
      <c r="F25" s="31"/>
      <c r="G25" s="46">
        <f>E25*169.21</f>
        <v>1066869.05</v>
      </c>
      <c r="H25" s="35">
        <f t="shared" si="5"/>
        <v>266.7172625</v>
      </c>
      <c r="I25" s="32">
        <f>H25-10.17</f>
        <v>256.54726249999999</v>
      </c>
      <c r="J25" s="56">
        <f>H25-I25</f>
        <v>10.170000000000016</v>
      </c>
      <c r="K25" s="16" t="s">
        <v>116</v>
      </c>
      <c r="L25" s="16" t="s">
        <v>21</v>
      </c>
      <c r="W25" s="24">
        <f>Z25+Y25+X25</f>
        <v>13712.31</v>
      </c>
      <c r="X25" s="24">
        <v>3540.85</v>
      </c>
      <c r="Y25" s="24">
        <v>5085.7299999999996</v>
      </c>
      <c r="Z25" s="24">
        <v>5085.7299999999996</v>
      </c>
    </row>
    <row r="26" spans="1:28" ht="60" x14ac:dyDescent="0.25">
      <c r="A26" s="4" t="s">
        <v>98</v>
      </c>
      <c r="B26" s="4" t="s">
        <v>63</v>
      </c>
      <c r="C26" s="49" t="s">
        <v>20</v>
      </c>
      <c r="D26" s="32">
        <v>3933</v>
      </c>
      <c r="E26" s="32">
        <f t="shared" si="1"/>
        <v>3933</v>
      </c>
      <c r="F26" s="31"/>
      <c r="G26" s="46">
        <f>E26*305.5</f>
        <v>1201531.5</v>
      </c>
      <c r="H26" s="35">
        <f t="shared" si="5"/>
        <v>300.38287500000001</v>
      </c>
      <c r="I26" s="32">
        <f>H26-8.41</f>
        <v>291.97287499999999</v>
      </c>
      <c r="J26" s="56">
        <f>H26-I26</f>
        <v>8.410000000000025</v>
      </c>
      <c r="K26" s="16" t="s">
        <v>116</v>
      </c>
      <c r="L26" s="16" t="s">
        <v>21</v>
      </c>
      <c r="W26" s="24">
        <f>Z26+Y26+X26</f>
        <v>11838.43</v>
      </c>
      <c r="X26" s="24">
        <v>3430.36</v>
      </c>
      <c r="Y26" s="24">
        <v>2689.76</v>
      </c>
      <c r="Z26" s="24">
        <v>5718.31</v>
      </c>
      <c r="AA26" s="27">
        <f>W26+W25+W23+W20+W19+W11+W8+W7</f>
        <v>458973.57999999996</v>
      </c>
      <c r="AB26" s="21" t="s">
        <v>117</v>
      </c>
    </row>
    <row r="27" spans="1:28" ht="60" x14ac:dyDescent="0.25">
      <c r="A27" s="4" t="s">
        <v>99</v>
      </c>
      <c r="B27" s="4" t="s">
        <v>64</v>
      </c>
      <c r="C27" s="49" t="s">
        <v>20</v>
      </c>
      <c r="D27" s="32">
        <v>1821</v>
      </c>
      <c r="E27" s="32">
        <f t="shared" si="1"/>
        <v>1821</v>
      </c>
      <c r="F27" s="31"/>
      <c r="G27" s="46">
        <f>E27*1075.9</f>
        <v>1959213.9000000001</v>
      </c>
      <c r="H27" s="35">
        <f t="shared" si="5"/>
        <v>489.80347500000005</v>
      </c>
      <c r="I27" s="32">
        <f t="shared" si="2"/>
        <v>489.80347500000005</v>
      </c>
      <c r="J27" s="32">
        <f t="shared" si="3"/>
        <v>0</v>
      </c>
      <c r="K27" s="16"/>
      <c r="L27" s="16" t="s">
        <v>21</v>
      </c>
      <c r="W27" s="24"/>
      <c r="X27" s="24">
        <f>SUM(X7:X26)</f>
        <v>159514.91999999998</v>
      </c>
      <c r="Y27" s="24"/>
      <c r="Z27" s="24"/>
      <c r="AA27" s="23">
        <v>458653.06</v>
      </c>
      <c r="AB27" s="21">
        <f>AA26-AA27</f>
        <v>320.51999999996042</v>
      </c>
    </row>
    <row r="28" spans="1:28" ht="60" x14ac:dyDescent="0.25">
      <c r="A28" s="4" t="s">
        <v>100</v>
      </c>
      <c r="B28" s="4" t="s">
        <v>65</v>
      </c>
      <c r="C28" s="49" t="s">
        <v>20</v>
      </c>
      <c r="D28" s="32">
        <v>180</v>
      </c>
      <c r="E28" s="32">
        <f t="shared" si="1"/>
        <v>180</v>
      </c>
      <c r="F28" s="31"/>
      <c r="G28" s="46">
        <f>E28*1798.63</f>
        <v>323753.40000000002</v>
      </c>
      <c r="H28" s="35">
        <f t="shared" si="5"/>
        <v>80.93835</v>
      </c>
      <c r="I28" s="32">
        <f t="shared" si="2"/>
        <v>80.93835</v>
      </c>
      <c r="J28" s="32">
        <f t="shared" si="3"/>
        <v>0</v>
      </c>
      <c r="K28" s="16"/>
      <c r="L28" s="16" t="s">
        <v>21</v>
      </c>
      <c r="W28" s="24"/>
      <c r="X28" s="24"/>
      <c r="Y28" s="24"/>
      <c r="Z28" s="24"/>
      <c r="AA28" s="23" t="s">
        <v>90</v>
      </c>
    </row>
    <row r="29" spans="1:28" ht="36" x14ac:dyDescent="0.25">
      <c r="A29" s="4" t="s">
        <v>101</v>
      </c>
      <c r="B29" s="4" t="s">
        <v>40</v>
      </c>
      <c r="C29" s="49" t="s">
        <v>94</v>
      </c>
      <c r="D29" s="32">
        <v>13698.34</v>
      </c>
      <c r="E29" s="32">
        <f>D29</f>
        <v>13698.34</v>
      </c>
      <c r="F29" s="31"/>
      <c r="G29" s="46">
        <f>E29*70.04</f>
        <v>959431.73360000015</v>
      </c>
      <c r="H29" s="35">
        <f>E29*70.04/1000/5*3</f>
        <v>575.65904016000013</v>
      </c>
      <c r="I29" s="32">
        <v>828581.81</v>
      </c>
      <c r="J29" s="32">
        <f t="shared" si="3"/>
        <v>-828006.15095984004</v>
      </c>
      <c r="K29" s="30" t="s">
        <v>118</v>
      </c>
      <c r="L29" s="16" t="s">
        <v>21</v>
      </c>
      <c r="V29" s="18"/>
      <c r="W29" s="24"/>
      <c r="X29" s="24"/>
      <c r="Y29" s="24"/>
      <c r="Z29" s="24"/>
    </row>
    <row r="30" spans="1:28" ht="36" x14ac:dyDescent="0.25">
      <c r="A30" s="4" t="s">
        <v>102</v>
      </c>
      <c r="B30" s="4" t="s">
        <v>40</v>
      </c>
      <c r="C30" s="49" t="s">
        <v>94</v>
      </c>
      <c r="D30" s="32">
        <v>33487.120000000003</v>
      </c>
      <c r="E30" s="32">
        <f>D30</f>
        <v>33487.120000000003</v>
      </c>
      <c r="F30" s="31"/>
      <c r="G30" s="46">
        <f>E30*70.04</f>
        <v>2345437.8848000006</v>
      </c>
      <c r="H30" s="35">
        <f>E30*70.04/5*3/1000</f>
        <v>1407.2627308800002</v>
      </c>
      <c r="I30" s="32">
        <v>2025560.65</v>
      </c>
      <c r="J30" s="32">
        <f>H30-I30</f>
        <v>-2024153.38726912</v>
      </c>
      <c r="K30" s="30" t="s">
        <v>118</v>
      </c>
      <c r="L30" s="16" t="s">
        <v>21</v>
      </c>
      <c r="V30" s="18"/>
      <c r="W30" s="24"/>
      <c r="X30" s="24"/>
      <c r="Y30" s="24"/>
      <c r="Z30" s="24"/>
    </row>
    <row r="31" spans="1:28" x14ac:dyDescent="0.25">
      <c r="A31" s="5" t="s">
        <v>66</v>
      </c>
      <c r="B31" s="5"/>
      <c r="C31" s="6"/>
      <c r="D31" s="7"/>
      <c r="E31" s="31"/>
      <c r="F31" s="7"/>
      <c r="G31" s="47">
        <f>SUM(G7:G30)</f>
        <v>91333698.694712713</v>
      </c>
      <c r="H31" s="34">
        <f>SUM(H7:H30)</f>
        <v>31554.282842148168</v>
      </c>
      <c r="I31" s="34">
        <f t="shared" ref="I31:J31" si="6">SUM(I7:I30)</f>
        <v>21224267.546961986</v>
      </c>
      <c r="J31" s="34">
        <f t="shared" si="6"/>
        <v>-21192656.036619838</v>
      </c>
      <c r="K31" s="6"/>
      <c r="L31" s="6"/>
      <c r="W31" s="24"/>
      <c r="X31" s="24"/>
      <c r="Y31" s="24"/>
      <c r="Z31" s="24"/>
    </row>
    <row r="32" spans="1:28" ht="102.75" customHeight="1" x14ac:dyDescent="0.25">
      <c r="A32" s="4" t="s">
        <v>121</v>
      </c>
      <c r="B32" s="4" t="s">
        <v>67</v>
      </c>
      <c r="C32" s="49" t="s">
        <v>20</v>
      </c>
      <c r="D32" s="32">
        <v>14650</v>
      </c>
      <c r="E32" s="32">
        <f t="shared" si="1"/>
        <v>14650</v>
      </c>
      <c r="F32" s="31"/>
      <c r="G32" s="46">
        <f>E32*47.16*12</f>
        <v>8290728</v>
      </c>
      <c r="H32" s="35">
        <f>G32/12*3/1000</f>
        <v>2072.6819999999998</v>
      </c>
      <c r="I32" s="32">
        <f t="shared" si="2"/>
        <v>2072.6819999999998</v>
      </c>
      <c r="J32" s="32">
        <f>H32-I32</f>
        <v>0</v>
      </c>
      <c r="K32" s="16"/>
      <c r="L32" s="16" t="s">
        <v>68</v>
      </c>
      <c r="W32" s="24"/>
      <c r="X32" s="24"/>
      <c r="Y32" s="24"/>
      <c r="Z32" s="24"/>
    </row>
    <row r="33" spans="1:29" x14ac:dyDescent="0.25">
      <c r="A33" s="5" t="s">
        <v>66</v>
      </c>
      <c r="B33" s="5"/>
      <c r="C33" s="6"/>
      <c r="D33" s="7"/>
      <c r="E33" s="31"/>
      <c r="F33" s="7"/>
      <c r="G33" s="47">
        <f>SUM(G32)</f>
        <v>8290728</v>
      </c>
      <c r="H33" s="34">
        <f>SUM(H32)</f>
        <v>2072.6819999999998</v>
      </c>
      <c r="I33" s="34">
        <f t="shared" ref="I33:J33" si="7">SUM(I32)</f>
        <v>2072.6819999999998</v>
      </c>
      <c r="J33" s="34">
        <f t="shared" si="7"/>
        <v>0</v>
      </c>
      <c r="K33" s="6"/>
      <c r="L33" s="6"/>
      <c r="W33" s="24"/>
      <c r="X33" s="24"/>
      <c r="Y33" s="24"/>
      <c r="Z33" s="24"/>
    </row>
    <row r="34" spans="1:29" ht="48" x14ac:dyDescent="0.25">
      <c r="A34" s="4" t="s">
        <v>103</v>
      </c>
      <c r="B34" s="4" t="s">
        <v>69</v>
      </c>
      <c r="C34" s="49" t="s">
        <v>48</v>
      </c>
      <c r="D34" s="36">
        <v>9</v>
      </c>
      <c r="E34" s="36">
        <f t="shared" si="1"/>
        <v>9</v>
      </c>
      <c r="F34" s="31"/>
      <c r="G34" s="46">
        <v>20324807.879999999</v>
      </c>
      <c r="H34" s="35">
        <f>G34/1000/12*3</f>
        <v>5081.2019700000001</v>
      </c>
      <c r="I34" s="32">
        <f t="shared" si="2"/>
        <v>5081.2019700000001</v>
      </c>
      <c r="J34" s="32">
        <f>H34-I34</f>
        <v>0</v>
      </c>
      <c r="K34" s="16"/>
      <c r="L34" s="16" t="s">
        <v>70</v>
      </c>
      <c r="M34" s="1">
        <v>0.46073213387015632</v>
      </c>
      <c r="N34" s="1">
        <v>1704.5420039999999</v>
      </c>
      <c r="P34" s="1" t="s">
        <v>71</v>
      </c>
      <c r="W34" s="24"/>
      <c r="X34" s="24"/>
      <c r="Y34" s="24"/>
      <c r="Z34" s="24"/>
    </row>
    <row r="35" spans="1:29" ht="48" x14ac:dyDescent="0.25">
      <c r="A35" s="4" t="s">
        <v>104</v>
      </c>
      <c r="B35" s="4" t="s">
        <v>72</v>
      </c>
      <c r="C35" s="49" t="s">
        <v>48</v>
      </c>
      <c r="D35" s="32">
        <v>7110</v>
      </c>
      <c r="E35" s="32">
        <f t="shared" si="1"/>
        <v>7110</v>
      </c>
      <c r="F35" s="31"/>
      <c r="G35" s="46">
        <v>6990207.3600000003</v>
      </c>
      <c r="H35" s="35">
        <v>1749.37</v>
      </c>
      <c r="I35" s="32">
        <f>H35-J35</f>
        <v>1708.3924399999999</v>
      </c>
      <c r="J35" s="32">
        <f>W35/1000</f>
        <v>40.977559999999997</v>
      </c>
      <c r="K35" s="16" t="s">
        <v>119</v>
      </c>
      <c r="L35" s="16" t="s">
        <v>73</v>
      </c>
      <c r="M35" s="1">
        <v>0.46073213387015632</v>
      </c>
      <c r="N35" s="1">
        <v>358.223184</v>
      </c>
      <c r="P35" s="1" t="s">
        <v>71</v>
      </c>
      <c r="W35" s="24">
        <f>Z35+Y35+X35</f>
        <v>40977.56</v>
      </c>
      <c r="X35" s="24">
        <v>21950.22</v>
      </c>
      <c r="Y35" s="24">
        <v>7043.73</v>
      </c>
      <c r="Z35" s="24">
        <v>11983.61</v>
      </c>
    </row>
    <row r="36" spans="1:29" x14ac:dyDescent="0.25">
      <c r="A36" s="5" t="s">
        <v>74</v>
      </c>
      <c r="B36" s="5"/>
      <c r="C36" s="6"/>
      <c r="D36" s="7"/>
      <c r="E36" s="31"/>
      <c r="F36" s="7"/>
      <c r="G36" s="47">
        <f>G34+G35</f>
        <v>27315015.239999998</v>
      </c>
      <c r="H36" s="34">
        <f>SUM(H34:H35)</f>
        <v>6830.57197</v>
      </c>
      <c r="I36" s="34">
        <f>SUM(I34:I35)</f>
        <v>6789.5944099999997</v>
      </c>
      <c r="J36" s="34">
        <f>SUM(J34:J35)</f>
        <v>40.977559999999997</v>
      </c>
      <c r="K36" s="6"/>
      <c r="L36" s="6"/>
      <c r="P36" s="1">
        <v>17915.93</v>
      </c>
      <c r="Q36" s="1">
        <v>-28990.904704815985</v>
      </c>
      <c r="W36" s="24"/>
      <c r="X36" s="24"/>
      <c r="Y36" s="24"/>
      <c r="Z36" s="24"/>
    </row>
    <row r="37" spans="1:29" ht="48" x14ac:dyDescent="0.25">
      <c r="A37" s="4" t="s">
        <v>105</v>
      </c>
      <c r="B37" s="4" t="s">
        <v>75</v>
      </c>
      <c r="C37" s="49" t="s">
        <v>20</v>
      </c>
      <c r="D37" s="32">
        <v>134049.70000000001</v>
      </c>
      <c r="E37" s="32">
        <f t="shared" si="1"/>
        <v>134049.70000000001</v>
      </c>
      <c r="F37" s="37"/>
      <c r="G37" s="46">
        <v>34551310.18</v>
      </c>
      <c r="H37" s="35">
        <f>34551310.18/1000/12*3</f>
        <v>8637.8275450000001</v>
      </c>
      <c r="I37" s="32">
        <f t="shared" si="2"/>
        <v>8637.8275450000001</v>
      </c>
      <c r="J37" s="32">
        <f>H37-I37</f>
        <v>0</v>
      </c>
      <c r="K37" s="38"/>
      <c r="L37" s="16" t="s">
        <v>76</v>
      </c>
      <c r="N37" s="1" t="s">
        <v>77</v>
      </c>
      <c r="W37" s="24"/>
      <c r="X37" s="24"/>
      <c r="Y37" s="24"/>
      <c r="Z37" s="24"/>
    </row>
    <row r="38" spans="1:29" ht="48" x14ac:dyDescent="0.25">
      <c r="A38" s="4" t="s">
        <v>106</v>
      </c>
      <c r="B38" s="4" t="s">
        <v>78</v>
      </c>
      <c r="C38" s="49" t="s">
        <v>20</v>
      </c>
      <c r="D38" s="32">
        <v>266765.2</v>
      </c>
      <c r="E38" s="32">
        <f t="shared" si="1"/>
        <v>266765.2</v>
      </c>
      <c r="F38" s="37"/>
      <c r="G38" s="46">
        <v>48668643.090000004</v>
      </c>
      <c r="H38" s="35">
        <f>48668643.09/1000/12*3</f>
        <v>12167.160772500001</v>
      </c>
      <c r="I38" s="32">
        <f t="shared" si="2"/>
        <v>12167.160772500001</v>
      </c>
      <c r="J38" s="32">
        <f t="shared" ref="J38:J41" si="8">H38-I38</f>
        <v>0</v>
      </c>
      <c r="K38" s="16"/>
      <c r="L38" s="16" t="s">
        <v>76</v>
      </c>
      <c r="N38" s="1" t="s">
        <v>77</v>
      </c>
      <c r="W38" s="24"/>
      <c r="X38" s="24"/>
      <c r="Y38" s="24"/>
      <c r="Z38" s="24"/>
    </row>
    <row r="39" spans="1:29" ht="48" x14ac:dyDescent="0.25">
      <c r="A39" s="4" t="s">
        <v>107</v>
      </c>
      <c r="B39" s="4" t="s">
        <v>79</v>
      </c>
      <c r="C39" s="49" t="s">
        <v>20</v>
      </c>
      <c r="D39" s="32">
        <v>135497.29999999999</v>
      </c>
      <c r="E39" s="32">
        <f t="shared" si="1"/>
        <v>135497.29999999999</v>
      </c>
      <c r="F39" s="37"/>
      <c r="G39" s="46">
        <v>17662073.059999999</v>
      </c>
      <c r="H39" s="35">
        <f>17662073.06/1000/12*3</f>
        <v>4415.5182649999997</v>
      </c>
      <c r="I39" s="32">
        <f t="shared" si="2"/>
        <v>4415.5182649999997</v>
      </c>
      <c r="J39" s="32">
        <f t="shared" si="8"/>
        <v>0</v>
      </c>
      <c r="K39" s="16"/>
      <c r="L39" s="16" t="s">
        <v>76</v>
      </c>
      <c r="N39" s="1" t="s">
        <v>77</v>
      </c>
      <c r="W39" s="24"/>
      <c r="X39" s="24"/>
      <c r="Y39" s="24"/>
      <c r="Z39" s="24"/>
    </row>
    <row r="40" spans="1:29" ht="48" x14ac:dyDescent="0.25">
      <c r="A40" s="4" t="s">
        <v>108</v>
      </c>
      <c r="B40" s="4" t="s">
        <v>80</v>
      </c>
      <c r="C40" s="49" t="s">
        <v>20</v>
      </c>
      <c r="D40" s="32">
        <v>29218</v>
      </c>
      <c r="E40" s="32">
        <f t="shared" si="1"/>
        <v>29218</v>
      </c>
      <c r="F40" s="37"/>
      <c r="G40" s="46">
        <v>2690101.26</v>
      </c>
      <c r="H40" s="35">
        <f>2690101.26/1000/12*3</f>
        <v>672.52531499999998</v>
      </c>
      <c r="I40" s="32">
        <f t="shared" si="2"/>
        <v>672.52531499999998</v>
      </c>
      <c r="J40" s="32">
        <f t="shared" si="8"/>
        <v>0</v>
      </c>
      <c r="K40" s="16"/>
      <c r="L40" s="16" t="s">
        <v>76</v>
      </c>
      <c r="N40" s="1" t="s">
        <v>77</v>
      </c>
      <c r="W40" s="24"/>
      <c r="X40" s="24"/>
      <c r="Y40" s="24"/>
      <c r="Z40" s="24"/>
    </row>
    <row r="41" spans="1:29" ht="48" x14ac:dyDescent="0.25">
      <c r="A41" s="4" t="s">
        <v>109</v>
      </c>
      <c r="B41" s="4" t="s">
        <v>81</v>
      </c>
      <c r="C41" s="49" t="s">
        <v>20</v>
      </c>
      <c r="D41" s="32">
        <v>2253</v>
      </c>
      <c r="E41" s="32">
        <f t="shared" si="1"/>
        <v>2253</v>
      </c>
      <c r="F41" s="37"/>
      <c r="G41" s="46">
        <v>83203.289999999994</v>
      </c>
      <c r="H41" s="35">
        <f>83203.29/1000/12*3</f>
        <v>20.800822499999999</v>
      </c>
      <c r="I41" s="32">
        <f t="shared" si="2"/>
        <v>20.800822499999999</v>
      </c>
      <c r="J41" s="32">
        <f t="shared" si="8"/>
        <v>0</v>
      </c>
      <c r="K41" s="16" t="s">
        <v>90</v>
      </c>
      <c r="L41" s="16" t="s">
        <v>76</v>
      </c>
      <c r="N41" s="1" t="s">
        <v>77</v>
      </c>
      <c r="W41" s="24"/>
      <c r="X41" s="24"/>
      <c r="Y41" s="24"/>
      <c r="Z41" s="24"/>
    </row>
    <row r="42" spans="1:29" x14ac:dyDescent="0.25">
      <c r="A42" s="5" t="s">
        <v>74</v>
      </c>
      <c r="B42" s="5"/>
      <c r="C42" s="6"/>
      <c r="D42" s="33">
        <f>SUM(D37:D41)</f>
        <v>567783.19999999995</v>
      </c>
      <c r="E42" s="33">
        <f t="shared" si="1"/>
        <v>567783.19999999995</v>
      </c>
      <c r="F42" s="7"/>
      <c r="G42" s="47">
        <f>G37+G38+G39+G40+G41</f>
        <v>103655330.88000003</v>
      </c>
      <c r="H42" s="34">
        <f>H37+H38+H39+H40+H41</f>
        <v>25913.832719999999</v>
      </c>
      <c r="I42" s="34">
        <f>I37+I38+I39+I40+I41</f>
        <v>25913.832719999999</v>
      </c>
      <c r="J42" s="34">
        <f t="shared" ref="J42" si="9">SUM(J37:J41)</f>
        <v>0</v>
      </c>
      <c r="K42" s="6" t="s">
        <v>90</v>
      </c>
      <c r="L42" s="6"/>
      <c r="W42" s="24"/>
      <c r="X42" s="24"/>
      <c r="Y42" s="24"/>
      <c r="Z42" s="24"/>
    </row>
    <row r="43" spans="1:29" ht="120.75" customHeight="1" x14ac:dyDescent="0.25">
      <c r="A43" s="4" t="s">
        <v>110</v>
      </c>
      <c r="B43" s="4" t="s">
        <v>89</v>
      </c>
      <c r="C43" s="49" t="s">
        <v>20</v>
      </c>
      <c r="D43" s="32">
        <v>63778</v>
      </c>
      <c r="E43" s="32">
        <f t="shared" si="1"/>
        <v>63778</v>
      </c>
      <c r="F43" s="7"/>
      <c r="G43" s="46">
        <f>E43*54.79</f>
        <v>3494396.62</v>
      </c>
      <c r="H43" s="35">
        <f>G43/12*3/1000</f>
        <v>873.599155</v>
      </c>
      <c r="I43" s="32">
        <f>H43</f>
        <v>873.599155</v>
      </c>
      <c r="J43" s="32">
        <f t="shared" ref="J43" si="10">H43-I43</f>
        <v>0</v>
      </c>
      <c r="K43" s="6"/>
      <c r="L43" s="16" t="s">
        <v>82</v>
      </c>
      <c r="W43" s="24"/>
      <c r="X43" s="24"/>
      <c r="Y43" s="24"/>
      <c r="Z43" s="24"/>
    </row>
    <row r="44" spans="1:29" x14ac:dyDescent="0.25">
      <c r="A44" s="5" t="s">
        <v>74</v>
      </c>
      <c r="B44" s="5"/>
      <c r="C44" s="6"/>
      <c r="D44" s="33">
        <f>D43</f>
        <v>63778</v>
      </c>
      <c r="E44" s="33">
        <f>E43</f>
        <v>63778</v>
      </c>
      <c r="F44" s="33"/>
      <c r="G44" s="42">
        <f>G43</f>
        <v>3494396.62</v>
      </c>
      <c r="H44" s="34">
        <f>H43</f>
        <v>873.599155</v>
      </c>
      <c r="I44" s="34">
        <f t="shared" ref="I44:J44" si="11">I43</f>
        <v>873.599155</v>
      </c>
      <c r="J44" s="34">
        <f t="shared" si="11"/>
        <v>0</v>
      </c>
      <c r="K44" s="6"/>
      <c r="L44" s="6"/>
      <c r="W44" s="24"/>
      <c r="X44" s="24"/>
      <c r="Y44" s="24"/>
      <c r="Z44" s="24"/>
    </row>
    <row r="45" spans="1:29" ht="36" x14ac:dyDescent="0.25">
      <c r="A45" s="51" t="s">
        <v>95</v>
      </c>
      <c r="B45" s="4" t="s">
        <v>96</v>
      </c>
      <c r="C45" s="49" t="s">
        <v>20</v>
      </c>
      <c r="D45" s="32">
        <v>40543.35</v>
      </c>
      <c r="E45" s="32">
        <f>D45</f>
        <v>40543.35</v>
      </c>
      <c r="F45" s="32"/>
      <c r="G45" s="43">
        <f>E45*87.37</f>
        <v>3542272.4895000001</v>
      </c>
      <c r="H45" s="35">
        <f>E45*87.37/12*3/1000</f>
        <v>885.56812237500003</v>
      </c>
      <c r="I45" s="32">
        <f>H45</f>
        <v>885.56812237500003</v>
      </c>
      <c r="J45" s="32">
        <f>H45-I45</f>
        <v>0</v>
      </c>
      <c r="K45" s="16"/>
      <c r="L45" s="16" t="s">
        <v>82</v>
      </c>
      <c r="W45" s="24"/>
      <c r="X45" s="24"/>
      <c r="Y45" s="24"/>
      <c r="Z45" s="24"/>
    </row>
    <row r="46" spans="1:29" s="17" customFormat="1" x14ac:dyDescent="0.25">
      <c r="A46" s="8" t="s">
        <v>74</v>
      </c>
      <c r="B46" s="8"/>
      <c r="C46" s="6"/>
      <c r="D46" s="33">
        <f>D45</f>
        <v>40543.35</v>
      </c>
      <c r="E46" s="33">
        <f>E45</f>
        <v>40543.35</v>
      </c>
      <c r="F46" s="33"/>
      <c r="G46" s="42">
        <f>G45</f>
        <v>3542272.4895000001</v>
      </c>
      <c r="H46" s="34">
        <f>H45</f>
        <v>885.56812237500003</v>
      </c>
      <c r="I46" s="34">
        <f t="shared" ref="I46:J46" si="12">I45</f>
        <v>885.56812237500003</v>
      </c>
      <c r="J46" s="34">
        <f t="shared" si="12"/>
        <v>0</v>
      </c>
      <c r="K46" s="6"/>
      <c r="L46" s="6"/>
      <c r="V46" s="20"/>
      <c r="W46" s="28"/>
      <c r="X46" s="28"/>
      <c r="Y46" s="28"/>
      <c r="Z46" s="28"/>
      <c r="AA46" s="29"/>
      <c r="AB46" s="22"/>
      <c r="AC46" s="22"/>
    </row>
    <row r="47" spans="1:29" ht="9" customHeight="1" x14ac:dyDescent="0.25">
      <c r="D47" s="18"/>
      <c r="E47" s="18"/>
      <c r="I47" s="1" t="s">
        <v>83</v>
      </c>
      <c r="W47" s="24"/>
      <c r="X47" s="24"/>
      <c r="Y47" s="24"/>
      <c r="Z47" s="24"/>
    </row>
    <row r="48" spans="1:29" ht="24" customHeight="1" x14ac:dyDescent="0.25">
      <c r="A48" s="52" t="s">
        <v>84</v>
      </c>
      <c r="B48" s="52"/>
      <c r="C48" s="52"/>
      <c r="D48" s="52"/>
      <c r="E48" s="52"/>
      <c r="F48" s="19"/>
      <c r="G48" s="45"/>
      <c r="H48" s="13" t="s">
        <v>90</v>
      </c>
      <c r="I48" s="50"/>
      <c r="J48" s="52" t="s">
        <v>92</v>
      </c>
      <c r="K48" s="52"/>
    </row>
    <row r="49" spans="1:11" ht="7.5" customHeight="1" x14ac:dyDescent="0.25">
      <c r="A49" s="50"/>
      <c r="B49" s="50"/>
      <c r="C49" s="50"/>
      <c r="D49" s="50"/>
      <c r="E49" s="50"/>
      <c r="F49" s="50"/>
      <c r="G49" s="45"/>
      <c r="H49" s="14"/>
      <c r="I49" s="50"/>
      <c r="J49" s="17"/>
      <c r="K49" s="17"/>
    </row>
    <row r="50" spans="1:11" ht="31.5" customHeight="1" x14ac:dyDescent="0.25">
      <c r="A50" s="52" t="s">
        <v>85</v>
      </c>
      <c r="B50" s="52"/>
      <c r="C50" s="52"/>
      <c r="D50" s="52"/>
      <c r="E50" s="52"/>
      <c r="F50" s="50"/>
      <c r="G50" s="45" t="s">
        <v>86</v>
      </c>
      <c r="H50" s="13" t="s">
        <v>90</v>
      </c>
      <c r="I50" s="50"/>
      <c r="J50" s="52" t="s">
        <v>87</v>
      </c>
      <c r="K50" s="52"/>
    </row>
    <row r="51" spans="1:11" ht="6.75" customHeight="1" x14ac:dyDescent="0.25">
      <c r="A51" s="50"/>
      <c r="B51" s="50"/>
      <c r="C51" s="50"/>
      <c r="D51" s="50"/>
      <c r="E51" s="50"/>
      <c r="F51" s="50"/>
      <c r="G51" s="45"/>
      <c r="H51" s="14"/>
      <c r="I51" s="50"/>
      <c r="J51" s="17"/>
      <c r="K51" s="17"/>
    </row>
    <row r="52" spans="1:11" ht="30" customHeight="1" x14ac:dyDescent="0.25">
      <c r="A52" s="52" t="s">
        <v>88</v>
      </c>
      <c r="B52" s="52"/>
      <c r="C52" s="52"/>
      <c r="D52" s="52"/>
      <c r="E52" s="52"/>
      <c r="F52" s="52"/>
      <c r="G52" s="45"/>
      <c r="I52" s="50"/>
      <c r="J52" s="52" t="s">
        <v>91</v>
      </c>
      <c r="K52" s="52"/>
    </row>
    <row r="53" spans="1:11" ht="31.5" customHeight="1" x14ac:dyDescent="0.25"/>
    <row r="54" spans="1:11" ht="31.5" customHeight="1" x14ac:dyDescent="0.25"/>
    <row r="55" spans="1:11" ht="31.5" customHeight="1" x14ac:dyDescent="0.25"/>
    <row r="56" spans="1:11" ht="31.5" customHeight="1" x14ac:dyDescent="0.25"/>
    <row r="57" spans="1:11" ht="31.5" customHeight="1" x14ac:dyDescent="0.25"/>
    <row r="58" spans="1:11" ht="31.5" customHeight="1" x14ac:dyDescent="0.25"/>
  </sheetData>
  <mergeCells count="10">
    <mergeCell ref="A50:E50"/>
    <mergeCell ref="J50:K50"/>
    <mergeCell ref="A52:F52"/>
    <mergeCell ref="J52:K52"/>
    <mergeCell ref="E1:F1"/>
    <mergeCell ref="E2:F2"/>
    <mergeCell ref="A4:L4"/>
    <mergeCell ref="A48:E48"/>
    <mergeCell ref="J48:K48"/>
    <mergeCell ref="K15:K17"/>
  </mergeCells>
  <pageMargins left="0.23622047244094491" right="0.23622047244094491" top="0.55118110236220474" bottom="0.55118110236220474" header="0.31496062992125984" footer="0.31496062992125984"/>
  <pageSetup paperSize="9" scale="71" fitToHeight="0" orientation="landscape" r:id="rId1"/>
  <ignoredErrors>
    <ignoredError sqref="I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2018-05-10T07:50:32Z</dcterms:modified>
</cp:coreProperties>
</file>